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5480" windowHeight="7050" activeTab="2"/>
  </bookViews>
  <sheets>
    <sheet name="ไตรมาส1" sheetId="1" r:id="rId1"/>
    <sheet name="ไตรมาส2" sheetId="2" r:id="rId2"/>
    <sheet name="ไตรมาส3" sheetId="3" r:id="rId3"/>
  </sheets>
  <definedNames>
    <definedName name="_xlnm.Print_Titles" localSheetId="0">ไตรมาส1!$7:$14</definedName>
    <definedName name="_xlnm.Print_Titles" localSheetId="1">ไตรมาส2!$A:$E,ไตรมาส2!$7:$14</definedName>
    <definedName name="_xlnm.Print_Titles" localSheetId="2">ไตรมาส3!$A:$E,ไตรมาส3!$7:$14</definedName>
  </definedNames>
  <calcPr calcId="124519"/>
</workbook>
</file>

<file path=xl/calcChain.xml><?xml version="1.0" encoding="utf-8"?>
<calcChain xmlns="http://schemas.openxmlformats.org/spreadsheetml/2006/main">
  <c r="L72" i="3"/>
  <c r="M72"/>
  <c r="N72"/>
  <c r="O72"/>
  <c r="R72"/>
  <c r="S72"/>
  <c r="T72"/>
  <c r="U72"/>
  <c r="V72"/>
  <c r="W72"/>
  <c r="X72"/>
  <c r="P72"/>
  <c r="Q71"/>
  <c r="S71"/>
  <c r="T71"/>
  <c r="U71"/>
  <c r="V71"/>
  <c r="W71"/>
  <c r="X71"/>
  <c r="P71"/>
  <c r="R70"/>
  <c r="R71" s="1"/>
  <c r="P59"/>
  <c r="X61"/>
  <c r="X59"/>
  <c r="M62"/>
  <c r="N62"/>
  <c r="O62"/>
  <c r="P62"/>
  <c r="Q62"/>
  <c r="R62"/>
  <c r="S62"/>
  <c r="T62"/>
  <c r="U62"/>
  <c r="V62"/>
  <c r="W62"/>
  <c r="L62"/>
  <c r="X65"/>
  <c r="X68"/>
  <c r="M69"/>
  <c r="N69"/>
  <c r="O69"/>
  <c r="P69"/>
  <c r="Q69"/>
  <c r="R69"/>
  <c r="S69"/>
  <c r="T69"/>
  <c r="U69"/>
  <c r="V69"/>
  <c r="W69"/>
  <c r="L69"/>
  <c r="M57"/>
  <c r="L56"/>
  <c r="L54"/>
  <c r="L53"/>
  <c r="P46"/>
  <c r="L48"/>
  <c r="L47"/>
  <c r="L44"/>
  <c r="R43"/>
  <c r="M52"/>
  <c r="N52"/>
  <c r="O52"/>
  <c r="P52"/>
  <c r="Q52"/>
  <c r="R52"/>
  <c r="S52"/>
  <c r="T52"/>
  <c r="M58"/>
  <c r="N58"/>
  <c r="O58"/>
  <c r="P58"/>
  <c r="Q58"/>
  <c r="S58"/>
  <c r="T58"/>
  <c r="U58"/>
  <c r="V58"/>
  <c r="U40"/>
  <c r="T40"/>
  <c r="S40"/>
  <c r="Q40"/>
  <c r="P39"/>
  <c r="O40"/>
  <c r="N40"/>
  <c r="N43"/>
  <c r="M40"/>
  <c r="L42"/>
  <c r="L41"/>
  <c r="L40"/>
  <c r="L39"/>
  <c r="O36"/>
  <c r="L35"/>
  <c r="Q29"/>
  <c r="Q28"/>
  <c r="P32"/>
  <c r="P31"/>
  <c r="P28"/>
  <c r="O28"/>
  <c r="M32"/>
  <c r="M31"/>
  <c r="M28"/>
  <c r="L32"/>
  <c r="L31"/>
  <c r="L30"/>
  <c r="L28"/>
  <c r="L22"/>
  <c r="W19"/>
  <c r="W18"/>
  <c r="W17"/>
  <c r="W16"/>
  <c r="W15"/>
  <c r="X67"/>
  <c r="X66"/>
  <c r="X64"/>
  <c r="W58"/>
  <c r="X57"/>
  <c r="X56"/>
  <c r="X55"/>
  <c r="X54"/>
  <c r="L58"/>
  <c r="W52"/>
  <c r="V52"/>
  <c r="U52"/>
  <c r="X51"/>
  <c r="X49"/>
  <c r="X48"/>
  <c r="X47"/>
  <c r="X46"/>
  <c r="X45"/>
  <c r="X44"/>
  <c r="W43"/>
  <c r="U43"/>
  <c r="Q43"/>
  <c r="O43"/>
  <c r="X42"/>
  <c r="X41"/>
  <c r="V43"/>
  <c r="T43"/>
  <c r="S43"/>
  <c r="P43"/>
  <c r="M43"/>
  <c r="L43"/>
  <c r="W38"/>
  <c r="U38"/>
  <c r="S38"/>
  <c r="P38"/>
  <c r="X37"/>
  <c r="X36"/>
  <c r="Q35"/>
  <c r="Q38" s="1"/>
  <c r="O35"/>
  <c r="O38" s="1"/>
  <c r="M35"/>
  <c r="M38" s="1"/>
  <c r="L38"/>
  <c r="X33"/>
  <c r="Q32"/>
  <c r="O32"/>
  <c r="X32"/>
  <c r="Q31"/>
  <c r="O31"/>
  <c r="X31"/>
  <c r="Q30"/>
  <c r="X30"/>
  <c r="X29"/>
  <c r="Q34"/>
  <c r="P34"/>
  <c r="O34"/>
  <c r="M34"/>
  <c r="L34"/>
  <c r="W27"/>
  <c r="U27"/>
  <c r="S27"/>
  <c r="P27"/>
  <c r="O27"/>
  <c r="M27"/>
  <c r="L26"/>
  <c r="X26" s="1"/>
  <c r="L25"/>
  <c r="X25" s="1"/>
  <c r="X24"/>
  <c r="L23"/>
  <c r="X23" s="1"/>
  <c r="X22"/>
  <c r="L27"/>
  <c r="L21"/>
  <c r="X20"/>
  <c r="X18"/>
  <c r="X17"/>
  <c r="X16"/>
  <c r="X15"/>
  <c r="W21"/>
  <c r="W63" s="1"/>
  <c r="M64" i="2"/>
  <c r="L64"/>
  <c r="N64"/>
  <c r="O64"/>
  <c r="Q64"/>
  <c r="R64"/>
  <c r="S64"/>
  <c r="T64"/>
  <c r="U64"/>
  <c r="V64"/>
  <c r="V61"/>
  <c r="V62"/>
  <c r="V60"/>
  <c r="V63" s="1"/>
  <c r="V56"/>
  <c r="V52"/>
  <c r="V53"/>
  <c r="V54"/>
  <c r="V55"/>
  <c r="V44"/>
  <c r="V45"/>
  <c r="V46"/>
  <c r="V47"/>
  <c r="V48"/>
  <c r="V49"/>
  <c r="V43"/>
  <c r="M50"/>
  <c r="N50"/>
  <c r="O50"/>
  <c r="P50"/>
  <c r="Q50"/>
  <c r="R50"/>
  <c r="S50"/>
  <c r="T50"/>
  <c r="U50"/>
  <c r="V50"/>
  <c r="L50"/>
  <c r="L42"/>
  <c r="L37"/>
  <c r="L33"/>
  <c r="L26"/>
  <c r="L20"/>
  <c r="M42"/>
  <c r="N42"/>
  <c r="O42"/>
  <c r="P42"/>
  <c r="Q42"/>
  <c r="R42"/>
  <c r="S42"/>
  <c r="T42"/>
  <c r="U42"/>
  <c r="V42"/>
  <c r="M63"/>
  <c r="N63"/>
  <c r="O63"/>
  <c r="P63"/>
  <c r="Q63"/>
  <c r="R63"/>
  <c r="S63"/>
  <c r="T63"/>
  <c r="U63"/>
  <c r="L63"/>
  <c r="M55"/>
  <c r="L54"/>
  <c r="L52"/>
  <c r="L51"/>
  <c r="O45"/>
  <c r="L46"/>
  <c r="L43"/>
  <c r="T39"/>
  <c r="R39"/>
  <c r="Q39"/>
  <c r="O38"/>
  <c r="M39"/>
  <c r="M38"/>
  <c r="V57"/>
  <c r="V58" s="1"/>
  <c r="V51"/>
  <c r="V40"/>
  <c r="V35"/>
  <c r="V36"/>
  <c r="L34"/>
  <c r="V34" s="1"/>
  <c r="V37" s="1"/>
  <c r="V32"/>
  <c r="V23"/>
  <c r="L41"/>
  <c r="V41" s="1"/>
  <c r="L39"/>
  <c r="V39" s="1"/>
  <c r="M56"/>
  <c r="N56"/>
  <c r="O56"/>
  <c r="P56"/>
  <c r="Q56"/>
  <c r="S56"/>
  <c r="U56"/>
  <c r="L38"/>
  <c r="V38" s="1"/>
  <c r="P34"/>
  <c r="P37" s="1"/>
  <c r="N34"/>
  <c r="M34"/>
  <c r="M37"/>
  <c r="N37"/>
  <c r="O37"/>
  <c r="Q37"/>
  <c r="S37"/>
  <c r="U37"/>
  <c r="P31"/>
  <c r="P30"/>
  <c r="O31"/>
  <c r="O30"/>
  <c r="O27"/>
  <c r="M31"/>
  <c r="M30"/>
  <c r="M29"/>
  <c r="M27"/>
  <c r="L31"/>
  <c r="V31" s="1"/>
  <c r="L30"/>
  <c r="V30" s="1"/>
  <c r="L29"/>
  <c r="V29" s="1"/>
  <c r="L27"/>
  <c r="V27" s="1"/>
  <c r="L21"/>
  <c r="V21" s="1"/>
  <c r="U17"/>
  <c r="U18"/>
  <c r="U16"/>
  <c r="U15"/>
  <c r="V15" s="1"/>
  <c r="L56"/>
  <c r="N31"/>
  <c r="N30"/>
  <c r="P29"/>
  <c r="P28"/>
  <c r="V28" s="1"/>
  <c r="P27"/>
  <c r="O33"/>
  <c r="N27"/>
  <c r="N33" s="1"/>
  <c r="M33"/>
  <c r="U26"/>
  <c r="S26"/>
  <c r="S59" s="1"/>
  <c r="Q26"/>
  <c r="O26"/>
  <c r="O59" s="1"/>
  <c r="N26"/>
  <c r="N59" s="1"/>
  <c r="M26"/>
  <c r="M59" s="1"/>
  <c r="L25"/>
  <c r="V25" s="1"/>
  <c r="L24"/>
  <c r="V24" s="1"/>
  <c r="L22"/>
  <c r="V22" s="1"/>
  <c r="V19"/>
  <c r="V18"/>
  <c r="V17"/>
  <c r="V16"/>
  <c r="T53" i="1"/>
  <c r="S53"/>
  <c r="R53"/>
  <c r="Q53"/>
  <c r="N27"/>
  <c r="N30"/>
  <c r="N31"/>
  <c r="N33"/>
  <c r="N34"/>
  <c r="N36"/>
  <c r="T45"/>
  <c r="O45"/>
  <c r="M45"/>
  <c r="T39"/>
  <c r="R39"/>
  <c r="P39"/>
  <c r="T36"/>
  <c r="O36"/>
  <c r="T33"/>
  <c r="T26"/>
  <c r="S26"/>
  <c r="R26"/>
  <c r="Q26"/>
  <c r="O26"/>
  <c r="N26"/>
  <c r="N53" s="1"/>
  <c r="M26"/>
  <c r="L20"/>
  <c r="M49"/>
  <c r="L48"/>
  <c r="L46"/>
  <c r="L47"/>
  <c r="L43"/>
  <c r="L40"/>
  <c r="L45" s="1"/>
  <c r="Q38"/>
  <c r="Q39" s="1"/>
  <c r="L38"/>
  <c r="O37"/>
  <c r="O39" s="1"/>
  <c r="L37"/>
  <c r="L39" s="1"/>
  <c r="M37"/>
  <c r="M39" s="1"/>
  <c r="P34"/>
  <c r="M34"/>
  <c r="M36" s="1"/>
  <c r="L34"/>
  <c r="L36" s="1"/>
  <c r="P31"/>
  <c r="P30"/>
  <c r="P29"/>
  <c r="P28"/>
  <c r="P27"/>
  <c r="O31"/>
  <c r="O30"/>
  <c r="O27"/>
  <c r="M31"/>
  <c r="M30"/>
  <c r="M29"/>
  <c r="M27"/>
  <c r="M33" s="1"/>
  <c r="L31"/>
  <c r="L30"/>
  <c r="L29"/>
  <c r="L28"/>
  <c r="L27"/>
  <c r="L25"/>
  <c r="L24"/>
  <c r="L22"/>
  <c r="L21"/>
  <c r="T19"/>
  <c r="S18"/>
  <c r="T18" s="1"/>
  <c r="S16"/>
  <c r="T16" s="1"/>
  <c r="S17"/>
  <c r="T17" s="1"/>
  <c r="S15"/>
  <c r="S20" s="1"/>
  <c r="X62" i="3" l="1"/>
  <c r="X69"/>
  <c r="X52"/>
  <c r="S63"/>
  <c r="U63"/>
  <c r="X40"/>
  <c r="P63"/>
  <c r="O63"/>
  <c r="M63"/>
  <c r="X21"/>
  <c r="X27"/>
  <c r="X28"/>
  <c r="X34" s="1"/>
  <c r="X35"/>
  <c r="X38" s="1"/>
  <c r="L52"/>
  <c r="L63" s="1"/>
  <c r="X53"/>
  <c r="X58" s="1"/>
  <c r="X39"/>
  <c r="X43" s="1"/>
  <c r="V33" i="2"/>
  <c r="V26"/>
  <c r="P33"/>
  <c r="L59"/>
  <c r="Q59"/>
  <c r="V20"/>
  <c r="U20"/>
  <c r="U59" s="1"/>
  <c r="M53" i="1"/>
  <c r="P33"/>
  <c r="L50"/>
  <c r="P36"/>
  <c r="L33"/>
  <c r="O33"/>
  <c r="O53" s="1"/>
  <c r="T15"/>
  <c r="T20" s="1"/>
  <c r="L26"/>
  <c r="X63" i="3" l="1"/>
  <c r="L53" i="1"/>
  <c r="V59" i="2"/>
  <c r="Q72" i="3"/>
  <c r="Q27"/>
  <c r="Q63"/>
  <c r="P59" i="2"/>
  <c r="P64"/>
  <c r="P26"/>
  <c r="P53" i="1"/>
  <c r="P26"/>
</calcChain>
</file>

<file path=xl/sharedStrings.xml><?xml version="1.0" encoding="utf-8"?>
<sst xmlns="http://schemas.openxmlformats.org/spreadsheetml/2006/main" count="569" uniqueCount="136">
  <si>
    <t>เทศบาลตำบลแม่เงิน</t>
  </si>
  <si>
    <t>กระดาษทำการกระทบยอดรายจ่ายตามงบประมาณ (จ่ายจากเงินรายรับ)</t>
  </si>
  <si>
    <t>แผนงานบริหารงานทั่วไป</t>
  </si>
  <si>
    <t>แผนงานการศึกษา</t>
  </si>
  <si>
    <t>แผนงานเคหะและชุมชน</t>
  </si>
  <si>
    <t>แผนงานสร้างความเข้มแข็งของชุมชน</t>
  </si>
  <si>
    <t>แผนงานการศาสนาวัฒนธรรมและนันทนาการ</t>
  </si>
  <si>
    <t>แผนงานงบกลาง</t>
  </si>
  <si>
    <t>รวม</t>
  </si>
  <si>
    <t>00110</t>
  </si>
  <si>
    <t>00210</t>
  </si>
  <si>
    <t>00240</t>
  </si>
  <si>
    <t>00250</t>
  </si>
  <si>
    <t>00260</t>
  </si>
  <si>
    <t>00410</t>
  </si>
  <si>
    <t>แผนงาน / งาน</t>
  </si>
  <si>
    <t>งานบริหารทั่วไป</t>
  </si>
  <si>
    <t>งานบริหารงานคลัง</t>
  </si>
  <si>
    <t>งานบริหารทั่วไปเกี่ยวกับการศึกษา</t>
  </si>
  <si>
    <t>งานระดับก่อนวัยเรียนและประถมศึกษา</t>
  </si>
  <si>
    <t>งานบริหารทั่วไปเกี่ยวกับเคหะและชุมชน</t>
  </si>
  <si>
    <t>งานส่งเสริมและสนับสนุนความเข้มแข็งชุมชน</t>
  </si>
  <si>
    <t>งานศาสนาวัฒนธรรมท้องถิ่น</t>
  </si>
  <si>
    <t>งบกลาง</t>
  </si>
  <si>
    <t>หมวด / ประเภทรายจ่าย</t>
  </si>
  <si>
    <t>00111</t>
  </si>
  <si>
    <t>00113</t>
  </si>
  <si>
    <t>00211</t>
  </si>
  <si>
    <t>00212</t>
  </si>
  <si>
    <t>00241</t>
  </si>
  <si>
    <t>00252</t>
  </si>
  <si>
    <t>00263</t>
  </si>
  <si>
    <t>00411</t>
  </si>
  <si>
    <t/>
  </si>
  <si>
    <t>เงินสมทบกองทุนประกันสังคม</t>
  </si>
  <si>
    <t>110300</t>
  </si>
  <si>
    <t>เงินงบประมาณ</t>
  </si>
  <si>
    <t>เบี้ยยังชีพผู้สูงอายุ</t>
  </si>
  <si>
    <t>110700</t>
  </si>
  <si>
    <t>เบี้ยยังชีพคนพิการ</t>
  </si>
  <si>
    <t>110800</t>
  </si>
  <si>
    <t>เบี้ยยังชีพผู้ป่วยเอดส์</t>
  </si>
  <si>
    <t>110900</t>
  </si>
  <si>
    <t>เงินสมทบกองทุนบำเหน็จบำนาญข้าราชการส่วนท้องถิ่น (กบท.)</t>
  </si>
  <si>
    <t>120100</t>
  </si>
  <si>
    <t>เงินเดือน (ฝ่ายการเมือง)</t>
  </si>
  <si>
    <t>เงินเดือนนายก/รองนายก</t>
  </si>
  <si>
    <t>210100</t>
  </si>
  <si>
    <t>เงินค่าตอบแทนประจำตำแหน่งนายก/รองนายก</t>
  </si>
  <si>
    <t>210200</t>
  </si>
  <si>
    <t>เงินค่าตอบแทนพิเศษนายก/รองนายก</t>
  </si>
  <si>
    <t>210300</t>
  </si>
  <si>
    <t>เงินค่าตอบแทนเลขานุการ/ที่ปรึกษานายกเทศมนตรี นายกองค์การบริหารส่วนตำบล</t>
  </si>
  <si>
    <t>210400</t>
  </si>
  <si>
    <t>เงินค่าตอบแทนสมาชิกสภาองค์กรปกครองส่วนท้องถิ่น</t>
  </si>
  <si>
    <t>210600</t>
  </si>
  <si>
    <t>เงินเดือน (ฝ่ายประจำ)</t>
  </si>
  <si>
    <t>เงินเดือนพนักงาน</t>
  </si>
  <si>
    <t>220100</t>
  </si>
  <si>
    <t>เงินเพิ่มต่าง ๆ ของพนักงาน</t>
  </si>
  <si>
    <t>220200</t>
  </si>
  <si>
    <t>เงินประจำตำแหน่ง</t>
  </si>
  <si>
    <t>220300</t>
  </si>
  <si>
    <t>ค่าตอบแทนพนักงานจ้าง</t>
  </si>
  <si>
    <t>220700</t>
  </si>
  <si>
    <t>เงินเพิ่มต่าง ๆของพนักงานจ้าง</t>
  </si>
  <si>
    <t>220800</t>
  </si>
  <si>
    <t>เงินเดือนพนักงานถ่ายโอน</t>
  </si>
  <si>
    <t>221000</t>
  </si>
  <si>
    <t>เงินอุดหนุนระบุวัตถุประสงค์/เฉพาะกิจ</t>
  </si>
  <si>
    <t>ค่าตอบแทน</t>
  </si>
  <si>
    <t>ค่าเช่าบ้าน</t>
  </si>
  <si>
    <t>310400</t>
  </si>
  <si>
    <t>เงินช่วยเหลือการศึกษาบุตร</t>
  </si>
  <si>
    <t>310500</t>
  </si>
  <si>
    <t>ค่าใช้สอย</t>
  </si>
  <si>
    <t>รายจ่ายเพื่อให้ได้มาซึ่งบริการ</t>
  </si>
  <si>
    <t>320100</t>
  </si>
  <si>
    <t>รายจ่ายเกี่ยวเนื่องกับการปฏิบัติราชการที่ไม่เข้าลักษณะรายจ่ายหมวดอื่นๆ</t>
  </si>
  <si>
    <t>320300</t>
  </si>
  <si>
    <t>ค่าวัสดุ</t>
  </si>
  <si>
    <t>วัสดุสำนักงาน</t>
  </si>
  <si>
    <t>330100</t>
  </si>
  <si>
    <t>วัสดุเชื้อเพลิงและหล่อลื่น</t>
  </si>
  <si>
    <t>330800</t>
  </si>
  <si>
    <t>ค่าสาธารณูปโภค</t>
  </si>
  <si>
    <t>ค่าไฟฟ้า</t>
  </si>
  <si>
    <t>340100</t>
  </si>
  <si>
    <t>ค่าบริการโทรศัพท์</t>
  </si>
  <si>
    <t>340300</t>
  </si>
  <si>
    <t>ค่าบริการไปรษณีย์</t>
  </si>
  <si>
    <t>340400</t>
  </si>
  <si>
    <t>ค่าบริการสื่อสารและโทรคมนาคม</t>
  </si>
  <si>
    <t>340500</t>
  </si>
  <si>
    <t>เงินอุดหนุน</t>
  </si>
  <si>
    <t>เงินอุดหนุนส่วนราชการ</t>
  </si>
  <si>
    <t>610200</t>
  </si>
  <si>
    <t>รวมทั้งสิ้นเดือนนี้</t>
  </si>
  <si>
    <t>วัสดุไฟฟ้าและวิทยุ</t>
  </si>
  <si>
    <t>วัสดุคอมพิวเตอร์</t>
  </si>
  <si>
    <t>ค่าอาหารเสริมนม</t>
  </si>
  <si>
    <t>ประจำเดือน ไตรมาสที่ 1 (ต.ค.-ธ.ค. 59)  ปีงบประมาณ   พ.ศ. 2560</t>
  </si>
  <si>
    <t>ประจำเดือน ไตรมาสที่ 2 (ม.ค.-มี.ค. 60)  ปีงบประมาณ   พ.ศ. 2560</t>
  </si>
  <si>
    <t>ค่าตอบแทนผู้ปฏิบัติราชการอันเป็นประโยชน์ฯ</t>
  </si>
  <si>
    <t>รายจ่ายเกี่ยวกับรับรองพิธีการผน</t>
  </si>
  <si>
    <t>ค่าบำรุงรักษาซ่อมแซม</t>
  </si>
  <si>
    <t>00262</t>
  </si>
  <si>
    <t>งานกีฬาและนันทนาการ</t>
  </si>
  <si>
    <t>แผนงานการเกษตร</t>
  </si>
  <si>
    <t>00320</t>
  </si>
  <si>
    <t>งานอนุรักษ์แหล่งน้ำ</t>
  </si>
  <si>
    <t>00322</t>
  </si>
  <si>
    <t>วัสดุงานบ้านงานครัว</t>
  </si>
  <si>
    <t>วัสดุการเกษตร</t>
  </si>
  <si>
    <t>ค่าน้ำ</t>
  </si>
  <si>
    <t>ครุภัณฑ์ก่อสร้าง</t>
  </si>
  <si>
    <t>ครุภัณฑ์คอมพิวเตอร์</t>
  </si>
  <si>
    <t>ครุภัณฑ์</t>
  </si>
  <si>
    <t>ครุภัณฑ์โฆษณาฯ</t>
  </si>
  <si>
    <t>รวมทั้งสิ้น</t>
  </si>
  <si>
    <t>ประจำเดือน ไตรมาสที่ 2 (เม.ย.-มิ.ย. 60)  ปีงบประมาณ   พ.ศ. 2560</t>
  </si>
  <si>
    <t>เงินสำรองจ่าย</t>
  </si>
  <si>
    <t>3500+3500+3500</t>
  </si>
  <si>
    <t>งานป้องกันภัยฝ่ายพลเรือนและระงับอัคคีภัย</t>
  </si>
  <si>
    <t>00123</t>
  </si>
  <si>
    <t>00120</t>
  </si>
  <si>
    <t>วัสดุยานพาหนะและขนส่ง</t>
  </si>
  <si>
    <t>งานไฟฟ้าถนน</t>
  </si>
  <si>
    <t>ครุภัณฑ์อื่น</t>
  </si>
  <si>
    <t>ครุภัณฑ์สำนักงาน</t>
  </si>
  <si>
    <t>เงินอุดหนุนเอกชน</t>
  </si>
  <si>
    <t>เงินอุดหนุน อปท.</t>
  </si>
  <si>
    <t>ที่ดินสิ่งก่อสร้าง</t>
  </si>
  <si>
    <t>ค่าก่อสร้างสาธารณูปโภค</t>
  </si>
  <si>
    <t>00242</t>
  </si>
  <si>
    <t>แผนงานการรักษาควาสงบภายใน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</si>
</sst>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[$-1041E]#,##0.00;\(#,##0.00\);&quot;-&quot;"/>
  </numFmts>
  <fonts count="24">
    <font>
      <sz val="11"/>
      <color rgb="FF000000"/>
      <name val="Tahoma"/>
      <family val="2"/>
      <scheme val="minor"/>
    </font>
    <font>
      <sz val="11"/>
      <color rgb="FF000000"/>
      <name val="Tahoma"/>
      <family val="2"/>
      <scheme val="minor"/>
    </font>
    <font>
      <b/>
      <sz val="12"/>
      <color rgb="FF000000"/>
      <name val="TH SarabunIT๙"/>
      <family val="2"/>
    </font>
    <font>
      <sz val="12"/>
      <color rgb="FF000000"/>
      <name val="TH SarabunIT๙"/>
      <family val="2"/>
    </font>
    <font>
      <sz val="14"/>
      <color rgb="FF000000"/>
      <name val="TH SarabunIT๙"/>
      <family val="2"/>
    </font>
    <font>
      <sz val="14"/>
      <name val="TH SarabunIT๙"/>
      <family val="2"/>
    </font>
    <font>
      <b/>
      <sz val="14"/>
      <color rgb="FF000000"/>
      <name val="TH SarabunIT๙"/>
      <family val="2"/>
    </font>
    <font>
      <b/>
      <sz val="14"/>
      <color rgb="FF483D8B"/>
      <name val="TH SarabunIT๙"/>
      <family val="2"/>
    </font>
    <font>
      <sz val="12"/>
      <name val="TH SarabunIT๙"/>
      <family val="2"/>
    </font>
    <font>
      <b/>
      <sz val="14"/>
      <name val="TH SarabunIT๙"/>
      <family val="2"/>
    </font>
    <font>
      <b/>
      <sz val="11"/>
      <name val="Tahoma"/>
      <family val="2"/>
    </font>
    <font>
      <b/>
      <sz val="12"/>
      <name val="TH SarabunIT๙"/>
      <family val="2"/>
    </font>
    <font>
      <b/>
      <sz val="12"/>
      <name val="Tahoma"/>
      <family val="2"/>
    </font>
    <font>
      <sz val="12"/>
      <color rgb="FF000000"/>
      <name val="Tahoma"/>
      <family val="2"/>
      <scheme val="minor"/>
    </font>
    <font>
      <sz val="12"/>
      <color rgb="FF000000"/>
      <name val="TH SarabunPSK"/>
      <family val="2"/>
    </font>
    <font>
      <b/>
      <sz val="12"/>
      <color rgb="FF483D8B"/>
      <name val="TH SarabunIT๙"/>
      <family val="2"/>
    </font>
    <font>
      <b/>
      <sz val="12"/>
      <color theme="7"/>
      <name val="TH SarabunIT๙"/>
      <family val="2"/>
    </font>
    <font>
      <sz val="12"/>
      <color rgb="FFFF0000"/>
      <name val="TH SarabunIT๙"/>
      <family val="2"/>
    </font>
    <font>
      <sz val="11"/>
      <color rgb="FF000000"/>
      <name val="TH SarabunIT๙"/>
      <family val="2"/>
    </font>
    <font>
      <sz val="11"/>
      <name val="TH SarabunIT๙"/>
      <family val="2"/>
    </font>
    <font>
      <b/>
      <sz val="11"/>
      <color rgb="FF483D8B"/>
      <name val="TH SarabunIT๙"/>
      <family val="2"/>
    </font>
    <font>
      <sz val="11"/>
      <color rgb="FFFF0000"/>
      <name val="TH SarabunIT๙"/>
      <family val="2"/>
    </font>
    <font>
      <b/>
      <sz val="11"/>
      <color theme="7"/>
      <name val="TH SarabunIT๙"/>
      <family val="2"/>
    </font>
    <font>
      <b/>
      <sz val="11"/>
      <name val="TH SarabunIT๙"/>
      <family val="2"/>
    </font>
  </fonts>
  <fills count="6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rgb="FFA9A9A9"/>
        <bgColor rgb="FFA9A9A9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rgb="FFA9A9A9"/>
      </left>
      <right/>
      <top style="thin">
        <color rgb="FFA9A9A9"/>
      </top>
      <bottom/>
      <diagonal/>
    </border>
    <border>
      <left/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D3D3D3"/>
      </bottom>
      <diagonal/>
    </border>
    <border>
      <left/>
      <right style="thin">
        <color rgb="FFA9A9A9"/>
      </right>
      <top style="thin">
        <color rgb="FFA9A9A9"/>
      </top>
      <bottom style="thin">
        <color rgb="FFD3D3D3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/>
      <top/>
      <bottom/>
      <diagonal/>
    </border>
    <border>
      <left/>
      <right style="thin">
        <color rgb="FFA9A9A9"/>
      </right>
      <top/>
      <bottom/>
      <diagonal/>
    </border>
    <border>
      <left style="thin">
        <color rgb="FFA9A9A9"/>
      </left>
      <right style="thin">
        <color rgb="FFA9A9A9"/>
      </right>
      <top style="thin">
        <color rgb="FFD3D3D3"/>
      </top>
      <bottom style="thin">
        <color rgb="FFA9A9A9"/>
      </bottom>
      <diagonal/>
    </border>
    <border>
      <left/>
      <right style="thin">
        <color rgb="FFA9A9A9"/>
      </right>
      <top style="thin">
        <color rgb="FFD3D3D3"/>
      </top>
      <bottom/>
      <diagonal/>
    </border>
    <border>
      <left style="thin">
        <color rgb="FFA9A9A9"/>
      </left>
      <right style="thin">
        <color rgb="FFA9A9A9"/>
      </right>
      <top/>
      <bottom/>
      <diagonal/>
    </border>
    <border>
      <left style="thin">
        <color rgb="FFA9A9A9"/>
      </left>
      <right/>
      <top/>
      <bottom style="thin">
        <color rgb="FFA9A9A9"/>
      </bottom>
      <diagonal/>
    </border>
    <border>
      <left/>
      <right style="thin">
        <color rgb="FFA9A9A9"/>
      </right>
      <top/>
      <bottom style="thin">
        <color rgb="FFA9A9A9"/>
      </bottom>
      <diagonal/>
    </border>
    <border>
      <left/>
      <right/>
      <top/>
      <bottom style="thin">
        <color rgb="FFA9A9A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 style="thin">
        <color rgb="FFA9A9A9"/>
      </right>
      <top/>
      <bottom style="thin">
        <color rgb="FFD3D3D3"/>
      </bottom>
      <diagonal/>
    </border>
    <border>
      <left style="thin">
        <color rgb="FFA9A9A9"/>
      </left>
      <right/>
      <top/>
      <bottom style="thin">
        <color rgb="FFD3D3D3"/>
      </bottom>
      <diagonal/>
    </border>
    <border>
      <left style="thin">
        <color rgb="FFFFFFFF"/>
      </left>
      <right style="thin">
        <color rgb="FFFFFFFF"/>
      </right>
      <top style="thin">
        <color rgb="FFA9A9A9"/>
      </top>
      <bottom style="thin">
        <color rgb="FFA9A9A9"/>
      </bottom>
      <diagonal/>
    </border>
    <border>
      <left/>
      <right style="thin">
        <color rgb="FFFFFFFF"/>
      </right>
      <top style="thin">
        <color rgb="FFA9A9A9"/>
      </top>
      <bottom style="thin">
        <color rgb="FFA9A9A9"/>
      </bottom>
      <diagonal/>
    </border>
    <border>
      <left style="thin">
        <color rgb="FFFFFFFF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 style="thin">
        <color rgb="FFFFFFFF"/>
      </left>
      <right/>
      <top style="thin">
        <color rgb="FFA9A9A9"/>
      </top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D3D3D3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A9A9A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68">
    <xf numFmtId="0" fontId="0" fillId="0" borderId="0" xfId="0" applyFont="1" applyFill="1" applyBorder="1"/>
    <xf numFmtId="0" fontId="5" fillId="0" borderId="0" xfId="0" applyFont="1" applyFill="1" applyBorder="1"/>
    <xf numFmtId="0" fontId="5" fillId="2" borderId="1" xfId="1" applyNumberFormat="1" applyFont="1" applyFill="1" applyBorder="1" applyAlignment="1">
      <alignment vertical="top" wrapText="1"/>
    </xf>
    <xf numFmtId="0" fontId="5" fillId="2" borderId="2" xfId="1" applyNumberFormat="1" applyFont="1" applyFill="1" applyBorder="1" applyAlignment="1">
      <alignment vertical="top" wrapText="1"/>
    </xf>
    <xf numFmtId="0" fontId="5" fillId="2" borderId="3" xfId="1" applyNumberFormat="1" applyFont="1" applyFill="1" applyBorder="1" applyAlignment="1">
      <alignment vertical="top" wrapText="1"/>
    </xf>
    <xf numFmtId="0" fontId="6" fillId="2" borderId="4" xfId="1" applyNumberFormat="1" applyFont="1" applyFill="1" applyBorder="1" applyAlignment="1">
      <alignment horizontal="center" vertical="center" wrapText="1" readingOrder="1"/>
    </xf>
    <xf numFmtId="0" fontId="5" fillId="2" borderId="7" xfId="1" applyNumberFormat="1" applyFont="1" applyFill="1" applyBorder="1" applyAlignment="1">
      <alignment vertical="top" wrapText="1"/>
    </xf>
    <xf numFmtId="0" fontId="5" fillId="2" borderId="0" xfId="1" applyNumberFormat="1" applyFont="1" applyFill="1" applyBorder="1" applyAlignment="1">
      <alignment vertical="top" wrapText="1"/>
    </xf>
    <xf numFmtId="0" fontId="5" fillId="2" borderId="8" xfId="1" applyNumberFormat="1" applyFont="1" applyFill="1" applyBorder="1" applyAlignment="1">
      <alignment vertical="top" wrapText="1"/>
    </xf>
    <xf numFmtId="0" fontId="5" fillId="2" borderId="12" xfId="1" applyNumberFormat="1" applyFont="1" applyFill="1" applyBorder="1" applyAlignment="1">
      <alignment vertical="top" wrapText="1"/>
    </xf>
    <xf numFmtId="0" fontId="5" fillId="2" borderId="14" xfId="1" applyNumberFormat="1" applyFont="1" applyFill="1" applyBorder="1" applyAlignment="1">
      <alignment vertical="top" wrapText="1"/>
    </xf>
    <xf numFmtId="0" fontId="5" fillId="2" borderId="13" xfId="1" applyNumberFormat="1" applyFont="1" applyFill="1" applyBorder="1" applyAlignment="1">
      <alignment vertical="top" wrapText="1"/>
    </xf>
    <xf numFmtId="0" fontId="4" fillId="4" borderId="18" xfId="1" applyNumberFormat="1" applyFont="1" applyFill="1" applyBorder="1" applyAlignment="1">
      <alignment vertical="top" wrapText="1" readingOrder="1"/>
    </xf>
    <xf numFmtId="0" fontId="4" fillId="0" borderId="20" xfId="1" applyNumberFormat="1" applyFont="1" applyFill="1" applyBorder="1" applyAlignment="1">
      <alignment horizontal="center" vertical="top" wrapText="1" readingOrder="1"/>
    </xf>
    <xf numFmtId="187" fontId="4" fillId="0" borderId="6" xfId="1" applyNumberFormat="1" applyFont="1" applyFill="1" applyBorder="1" applyAlignment="1">
      <alignment horizontal="right" vertical="top" wrapText="1" readingOrder="1"/>
    </xf>
    <xf numFmtId="187" fontId="4" fillId="0" borderId="22" xfId="1" applyNumberFormat="1" applyFont="1" applyFill="1" applyBorder="1" applyAlignment="1">
      <alignment horizontal="right" vertical="top" wrapText="1" readingOrder="1"/>
    </xf>
    <xf numFmtId="187" fontId="7" fillId="0" borderId="6" xfId="1" applyNumberFormat="1" applyFont="1" applyFill="1" applyBorder="1" applyAlignment="1">
      <alignment horizontal="right" vertical="top" wrapText="1" readingOrder="1"/>
    </xf>
    <xf numFmtId="187" fontId="7" fillId="0" borderId="22" xfId="1" applyNumberFormat="1" applyFont="1" applyFill="1" applyBorder="1" applyAlignment="1">
      <alignment horizontal="right" vertical="top" wrapText="1" readingOrder="1"/>
    </xf>
    <xf numFmtId="187" fontId="4" fillId="0" borderId="23" xfId="1" applyNumberFormat="1" applyFont="1" applyFill="1" applyBorder="1" applyAlignment="1">
      <alignment vertical="top" wrapText="1" readingOrder="1"/>
    </xf>
    <xf numFmtId="187" fontId="7" fillId="0" borderId="23" xfId="1" applyNumberFormat="1" applyFont="1" applyFill="1" applyBorder="1" applyAlignment="1">
      <alignment vertical="top" wrapText="1" readingOrder="1"/>
    </xf>
    <xf numFmtId="0" fontId="4" fillId="0" borderId="22" xfId="1" applyNumberFormat="1" applyFont="1" applyFill="1" applyBorder="1" applyAlignment="1">
      <alignment vertical="top" wrapText="1" readingOrder="1"/>
    </xf>
    <xf numFmtId="0" fontId="4" fillId="0" borderId="6" xfId="1" applyNumberFormat="1" applyFont="1" applyFill="1" applyBorder="1" applyAlignment="1">
      <alignment vertical="top" wrapText="1" readingOrder="1"/>
    </xf>
    <xf numFmtId="0" fontId="5" fillId="0" borderId="21" xfId="1" applyNumberFormat="1" applyFont="1" applyFill="1" applyBorder="1" applyAlignment="1">
      <alignment vertical="top" wrapText="1"/>
    </xf>
    <xf numFmtId="0" fontId="5" fillId="0" borderId="22" xfId="1" applyNumberFormat="1" applyFont="1" applyFill="1" applyBorder="1" applyAlignment="1">
      <alignment vertical="top" wrapText="1"/>
    </xf>
    <xf numFmtId="0" fontId="4" fillId="0" borderId="21" xfId="1" applyNumberFormat="1" applyFont="1" applyFill="1" applyBorder="1" applyAlignment="1">
      <alignment horizontal="center" vertical="top" wrapText="1" readingOrder="1"/>
    </xf>
    <xf numFmtId="0" fontId="4" fillId="0" borderId="21" xfId="1" applyNumberFormat="1" applyFont="1" applyFill="1" applyBorder="1" applyAlignment="1">
      <alignment vertical="top" wrapText="1" readingOrder="1"/>
    </xf>
    <xf numFmtId="0" fontId="4" fillId="3" borderId="6" xfId="1" applyNumberFormat="1" applyFont="1" applyFill="1" applyBorder="1" applyAlignment="1">
      <alignment vertical="top" wrapText="1" readingOrder="1"/>
    </xf>
    <xf numFmtId="0" fontId="2" fillId="2" borderId="4" xfId="1" applyNumberFormat="1" applyFont="1" applyFill="1" applyBorder="1" applyAlignment="1">
      <alignment horizontal="center" vertical="center" wrapText="1" readingOrder="1"/>
    </xf>
    <xf numFmtId="0" fontId="3" fillId="2" borderId="4" xfId="1" applyNumberFormat="1" applyFont="1" applyFill="1" applyBorder="1" applyAlignment="1">
      <alignment horizontal="center" vertical="center" wrapText="1" readingOrder="1"/>
    </xf>
    <xf numFmtId="0" fontId="8" fillId="2" borderId="7" xfId="1" applyNumberFormat="1" applyFont="1" applyFill="1" applyBorder="1" applyAlignment="1">
      <alignment vertical="top" wrapText="1"/>
    </xf>
    <xf numFmtId="0" fontId="8" fillId="2" borderId="16" xfId="1" applyNumberFormat="1" applyFont="1" applyFill="1" applyBorder="1" applyAlignment="1">
      <alignment vertical="top" wrapText="1"/>
    </xf>
    <xf numFmtId="0" fontId="5" fillId="5" borderId="0" xfId="0" applyFont="1" applyFill="1" applyBorder="1"/>
    <xf numFmtId="0" fontId="5" fillId="5" borderId="10" xfId="1" applyNumberFormat="1" applyFont="1" applyFill="1" applyBorder="1" applyAlignment="1">
      <alignment vertical="top" wrapText="1"/>
    </xf>
    <xf numFmtId="0" fontId="8" fillId="2" borderId="11" xfId="1" applyNumberFormat="1" applyFont="1" applyFill="1" applyBorder="1" applyAlignment="1">
      <alignment horizontal="center" vertical="top" wrapText="1"/>
    </xf>
    <xf numFmtId="43" fontId="3" fillId="0" borderId="28" xfId="2" applyFont="1" applyFill="1" applyBorder="1" applyAlignment="1">
      <alignment horizontal="right" vertical="top" wrapText="1" readingOrder="1"/>
    </xf>
    <xf numFmtId="0" fontId="8" fillId="0" borderId="0" xfId="0" applyFont="1" applyFill="1" applyBorder="1"/>
    <xf numFmtId="0" fontId="8" fillId="2" borderId="1" xfId="1" applyNumberFormat="1" applyFont="1" applyFill="1" applyBorder="1" applyAlignment="1">
      <alignment vertical="top" wrapText="1"/>
    </xf>
    <xf numFmtId="0" fontId="8" fillId="2" borderId="2" xfId="1" applyNumberFormat="1" applyFont="1" applyFill="1" applyBorder="1" applyAlignment="1">
      <alignment vertical="top" wrapText="1"/>
    </xf>
    <xf numFmtId="0" fontId="8" fillId="2" borderId="3" xfId="1" applyNumberFormat="1" applyFont="1" applyFill="1" applyBorder="1" applyAlignment="1">
      <alignment vertical="top" wrapText="1"/>
    </xf>
    <xf numFmtId="0" fontId="2" fillId="2" borderId="6" xfId="1" applyNumberFormat="1" applyFont="1" applyFill="1" applyBorder="1" applyAlignment="1">
      <alignment horizontal="center" vertical="center" wrapText="1" readingOrder="1"/>
    </xf>
    <xf numFmtId="0" fontId="8" fillId="2" borderId="0" xfId="1" applyNumberFormat="1" applyFont="1" applyFill="1" applyBorder="1" applyAlignment="1">
      <alignment vertical="top" wrapText="1"/>
    </xf>
    <xf numFmtId="0" fontId="8" fillId="2" borderId="8" xfId="1" applyNumberFormat="1" applyFont="1" applyFill="1" applyBorder="1" applyAlignment="1">
      <alignment vertical="top" wrapText="1"/>
    </xf>
    <xf numFmtId="0" fontId="3" fillId="2" borderId="9" xfId="1" applyNumberFormat="1" applyFont="1" applyFill="1" applyBorder="1" applyAlignment="1">
      <alignment horizontal="center" vertical="center" wrapText="1" readingOrder="1"/>
    </xf>
    <xf numFmtId="0" fontId="8" fillId="2" borderId="12" xfId="1" applyNumberFormat="1" applyFont="1" applyFill="1" applyBorder="1" applyAlignment="1">
      <alignment vertical="top" wrapText="1"/>
    </xf>
    <xf numFmtId="0" fontId="8" fillId="2" borderId="14" xfId="1" applyNumberFormat="1" applyFont="1" applyFill="1" applyBorder="1" applyAlignment="1">
      <alignment vertical="top" wrapText="1"/>
    </xf>
    <xf numFmtId="0" fontId="8" fillId="2" borderId="11" xfId="1" quotePrefix="1" applyNumberFormat="1" applyFont="1" applyFill="1" applyBorder="1" applyAlignment="1">
      <alignment vertical="top" wrapText="1"/>
    </xf>
    <xf numFmtId="0" fontId="8" fillId="2" borderId="11" xfId="1" quotePrefix="1" applyNumberFormat="1" applyFont="1" applyFill="1" applyBorder="1" applyAlignment="1">
      <alignment horizontal="center" vertical="top" wrapText="1"/>
    </xf>
    <xf numFmtId="0" fontId="3" fillId="4" borderId="24" xfId="1" applyNumberFormat="1" applyFont="1" applyFill="1" applyBorder="1" applyAlignment="1">
      <alignment vertical="top" wrapText="1" readingOrder="1"/>
    </xf>
    <xf numFmtId="0" fontId="3" fillId="0" borderId="28" xfId="1" applyNumberFormat="1" applyFont="1" applyFill="1" applyBorder="1" applyAlignment="1">
      <alignment horizontal="center" vertical="top" wrapText="1" readingOrder="1"/>
    </xf>
    <xf numFmtId="187" fontId="3" fillId="0" borderId="28" xfId="1" applyNumberFormat="1" applyFont="1" applyFill="1" applyBorder="1" applyAlignment="1">
      <alignment horizontal="right" vertical="top" wrapText="1" readingOrder="1"/>
    </xf>
    <xf numFmtId="0" fontId="3" fillId="4" borderId="31" xfId="1" applyNumberFormat="1" applyFont="1" applyFill="1" applyBorder="1" applyAlignment="1">
      <alignment vertical="top" wrapText="1" readingOrder="1"/>
    </xf>
    <xf numFmtId="0" fontId="3" fillId="0" borderId="29" xfId="1" applyNumberFormat="1" applyFont="1" applyFill="1" applyBorder="1" applyAlignment="1">
      <alignment horizontal="center" vertical="top" wrapText="1" readingOrder="1"/>
    </xf>
    <xf numFmtId="187" fontId="15" fillId="0" borderId="28" xfId="1" applyNumberFormat="1" applyFont="1" applyFill="1" applyBorder="1" applyAlignment="1">
      <alignment horizontal="right" vertical="top" wrapText="1" readingOrder="1"/>
    </xf>
    <xf numFmtId="0" fontId="3" fillId="4" borderId="28" xfId="1" applyNumberFormat="1" applyFont="1" applyFill="1" applyBorder="1" applyAlignment="1">
      <alignment vertical="top" wrapText="1" readingOrder="1"/>
    </xf>
    <xf numFmtId="187" fontId="3" fillId="0" borderId="28" xfId="1" applyNumberFormat="1" applyFont="1" applyFill="1" applyBorder="1" applyAlignment="1">
      <alignment vertical="top" wrapText="1" readingOrder="1"/>
    </xf>
    <xf numFmtId="187" fontId="15" fillId="0" borderId="28" xfId="1" applyNumberFormat="1" applyFont="1" applyFill="1" applyBorder="1" applyAlignment="1">
      <alignment vertical="top" wrapText="1" readingOrder="1"/>
    </xf>
    <xf numFmtId="0" fontId="3" fillId="0" borderId="28" xfId="1" applyNumberFormat="1" applyFont="1" applyFill="1" applyBorder="1" applyAlignment="1">
      <alignment vertical="top" wrapText="1" readingOrder="1"/>
    </xf>
    <xf numFmtId="0" fontId="8" fillId="0" borderId="28" xfId="1" applyNumberFormat="1" applyFont="1" applyFill="1" applyBorder="1" applyAlignment="1">
      <alignment vertical="top" wrapText="1"/>
    </xf>
    <xf numFmtId="0" fontId="8" fillId="0" borderId="28" xfId="0" applyFont="1" applyFill="1" applyBorder="1"/>
    <xf numFmtId="0" fontId="3" fillId="4" borderId="28" xfId="1" applyNumberFormat="1" applyFont="1" applyFill="1" applyBorder="1" applyAlignment="1">
      <alignment horizontal="left" vertical="top" wrapText="1" readingOrder="1"/>
    </xf>
    <xf numFmtId="0" fontId="8" fillId="0" borderId="28" xfId="1" applyNumberFormat="1" applyFont="1" applyFill="1" applyBorder="1" applyAlignment="1">
      <alignment horizontal="left" vertical="top" wrapText="1"/>
    </xf>
    <xf numFmtId="0" fontId="3" fillId="3" borderId="6" xfId="1" applyNumberFormat="1" applyFont="1" applyFill="1" applyBorder="1" applyAlignment="1">
      <alignment vertical="top" wrapText="1" readingOrder="1"/>
    </xf>
    <xf numFmtId="187" fontId="15" fillId="0" borderId="11" xfId="1" applyNumberFormat="1" applyFont="1" applyFill="1" applyBorder="1" applyAlignment="1">
      <alignment horizontal="right" vertical="top" wrapText="1" readingOrder="1"/>
    </xf>
    <xf numFmtId="43" fontId="8" fillId="0" borderId="28" xfId="2" applyFont="1" applyFill="1" applyBorder="1"/>
    <xf numFmtId="0" fontId="3" fillId="2" borderId="4" xfId="1" applyNumberFormat="1" applyFont="1" applyFill="1" applyBorder="1" applyAlignment="1">
      <alignment horizontal="center" vertical="center" wrapText="1" readingOrder="1"/>
    </xf>
    <xf numFmtId="0" fontId="8" fillId="2" borderId="7" xfId="1" applyNumberFormat="1" applyFont="1" applyFill="1" applyBorder="1" applyAlignment="1">
      <alignment vertical="top" wrapText="1"/>
    </xf>
    <xf numFmtId="0" fontId="8" fillId="2" borderId="16" xfId="1" applyNumberFormat="1" applyFont="1" applyFill="1" applyBorder="1" applyAlignment="1">
      <alignment vertical="top" wrapText="1"/>
    </xf>
    <xf numFmtId="0" fontId="3" fillId="2" borderId="9" xfId="1" applyNumberFormat="1" applyFont="1" applyFill="1" applyBorder="1" applyAlignment="1">
      <alignment horizontal="center" vertical="center" wrapText="1" readingOrder="1"/>
    </xf>
    <xf numFmtId="0" fontId="8" fillId="2" borderId="0" xfId="1" applyNumberFormat="1" applyFont="1" applyFill="1" applyBorder="1" applyAlignment="1">
      <alignment vertical="top" wrapText="1"/>
    </xf>
    <xf numFmtId="0" fontId="8" fillId="0" borderId="0" xfId="0" applyFont="1" applyFill="1" applyBorder="1"/>
    <xf numFmtId="0" fontId="2" fillId="2" borderId="6" xfId="1" applyNumberFormat="1" applyFont="1" applyFill="1" applyBorder="1" applyAlignment="1">
      <alignment horizontal="center" vertical="center" wrapText="1" readingOrder="1"/>
    </xf>
    <xf numFmtId="0" fontId="16" fillId="0" borderId="0" xfId="0" applyFont="1" applyFill="1" applyBorder="1"/>
    <xf numFmtId="0" fontId="16" fillId="0" borderId="30" xfId="0" applyFont="1" applyFill="1" applyBorder="1"/>
    <xf numFmtId="43" fontId="16" fillId="0" borderId="28" xfId="2" applyFont="1" applyFill="1" applyBorder="1"/>
    <xf numFmtId="4" fontId="11" fillId="0" borderId="28" xfId="0" applyNumberFormat="1" applyFont="1" applyFill="1" applyBorder="1"/>
    <xf numFmtId="0" fontId="14" fillId="5" borderId="15" xfId="0" quotePrefix="1" applyFont="1" applyFill="1" applyBorder="1" applyAlignment="1">
      <alignment horizontal="center"/>
    </xf>
    <xf numFmtId="0" fontId="8" fillId="2" borderId="6" xfId="1" quotePrefix="1" applyNumberFormat="1" applyFont="1" applyFill="1" applyBorder="1" applyAlignment="1">
      <alignment horizontal="center" vertical="top" wrapText="1"/>
    </xf>
    <xf numFmtId="0" fontId="2" fillId="2" borderId="26" xfId="1" applyNumberFormat="1" applyFont="1" applyFill="1" applyBorder="1" applyAlignment="1">
      <alignment horizontal="center" vertical="center" wrapText="1" readingOrder="1"/>
    </xf>
    <xf numFmtId="0" fontId="2" fillId="2" borderId="3" xfId="1" applyNumberFormat="1" applyFont="1" applyFill="1" applyBorder="1" applyAlignment="1">
      <alignment horizontal="center" vertical="center" wrapText="1" readingOrder="1"/>
    </xf>
    <xf numFmtId="0" fontId="8" fillId="5" borderId="26" xfId="0" applyFont="1" applyFill="1" applyBorder="1"/>
    <xf numFmtId="0" fontId="8" fillId="5" borderId="26" xfId="1" applyNumberFormat="1" applyFont="1" applyFill="1" applyBorder="1" applyAlignment="1">
      <alignment vertical="top" wrapText="1"/>
    </xf>
    <xf numFmtId="0" fontId="2" fillId="2" borderId="26" xfId="1" applyNumberFormat="1" applyFont="1" applyFill="1" applyBorder="1" applyAlignment="1">
      <alignment vertical="center" wrapText="1" readingOrder="1"/>
    </xf>
    <xf numFmtId="0" fontId="8" fillId="2" borderId="15" xfId="1" quotePrefix="1" applyNumberFormat="1" applyFont="1" applyFill="1" applyBorder="1" applyAlignment="1">
      <alignment vertical="top" wrapText="1"/>
    </xf>
    <xf numFmtId="0" fontId="8" fillId="0" borderId="0" xfId="0" applyFont="1" applyFill="1" applyBorder="1"/>
    <xf numFmtId="0" fontId="2" fillId="2" borderId="26" xfId="1" applyNumberFormat="1" applyFont="1" applyFill="1" applyBorder="1" applyAlignment="1">
      <alignment horizontal="center" vertical="center" wrapText="1" readingOrder="1"/>
    </xf>
    <xf numFmtId="0" fontId="8" fillId="0" borderId="26" xfId="1" applyNumberFormat="1" applyFont="1" applyFill="1" applyBorder="1" applyAlignment="1">
      <alignment vertical="top" wrapText="1"/>
    </xf>
    <xf numFmtId="0" fontId="3" fillId="2" borderId="9" xfId="1" applyNumberFormat="1" applyFont="1" applyFill="1" applyBorder="1" applyAlignment="1">
      <alignment horizontal="center" vertical="center" wrapText="1" readingOrder="1"/>
    </xf>
    <xf numFmtId="0" fontId="17" fillId="2" borderId="4" xfId="1" applyNumberFormat="1" applyFont="1" applyFill="1" applyBorder="1" applyAlignment="1">
      <alignment horizontal="center" vertical="center" wrapText="1" readingOrder="1"/>
    </xf>
    <xf numFmtId="0" fontId="3" fillId="2" borderId="27" xfId="1" applyNumberFormat="1" applyFont="1" applyFill="1" applyBorder="1" applyAlignment="1">
      <alignment horizontal="center" vertical="center" wrapText="1" readingOrder="1"/>
    </xf>
    <xf numFmtId="43" fontId="18" fillId="0" borderId="28" xfId="2" applyFont="1" applyFill="1" applyBorder="1" applyAlignment="1">
      <alignment horizontal="right" vertical="top" wrapText="1" readingOrder="1"/>
    </xf>
    <xf numFmtId="0" fontId="8" fillId="2" borderId="7" xfId="1" quotePrefix="1" applyNumberFormat="1" applyFont="1" applyFill="1" applyBorder="1" applyAlignment="1">
      <alignment horizontal="center" vertical="top" wrapText="1"/>
    </xf>
    <xf numFmtId="0" fontId="18" fillId="4" borderId="24" xfId="1" applyNumberFormat="1" applyFont="1" applyFill="1" applyBorder="1" applyAlignment="1">
      <alignment vertical="top" wrapText="1" readingOrder="1"/>
    </xf>
    <xf numFmtId="0" fontId="18" fillId="0" borderId="28" xfId="1" applyNumberFormat="1" applyFont="1" applyFill="1" applyBorder="1" applyAlignment="1">
      <alignment horizontal="center" vertical="top" wrapText="1" readingOrder="1"/>
    </xf>
    <xf numFmtId="187" fontId="18" fillId="0" borderId="28" xfId="1" applyNumberFormat="1" applyFont="1" applyFill="1" applyBorder="1" applyAlignment="1">
      <alignment horizontal="right" vertical="top" wrapText="1" readingOrder="1"/>
    </xf>
    <xf numFmtId="0" fontId="19" fillId="0" borderId="0" xfId="0" applyFont="1" applyFill="1" applyBorder="1"/>
    <xf numFmtId="0" fontId="18" fillId="4" borderId="31" xfId="1" applyNumberFormat="1" applyFont="1" applyFill="1" applyBorder="1" applyAlignment="1">
      <alignment vertical="top" wrapText="1" readingOrder="1"/>
    </xf>
    <xf numFmtId="0" fontId="18" fillId="0" borderId="29" xfId="1" applyNumberFormat="1" applyFont="1" applyFill="1" applyBorder="1" applyAlignment="1">
      <alignment horizontal="center" vertical="top" wrapText="1" readingOrder="1"/>
    </xf>
    <xf numFmtId="0" fontId="18" fillId="0" borderId="29" xfId="1" applyNumberFormat="1" applyFont="1" applyFill="1" applyBorder="1" applyAlignment="1">
      <alignment vertical="top" wrapText="1" readingOrder="1"/>
    </xf>
    <xf numFmtId="0" fontId="19" fillId="0" borderId="29" xfId="1" applyNumberFormat="1" applyFont="1" applyFill="1" applyBorder="1" applyAlignment="1">
      <alignment vertical="top" wrapText="1"/>
    </xf>
    <xf numFmtId="187" fontId="20" fillId="0" borderId="28" xfId="1" applyNumberFormat="1" applyFont="1" applyFill="1" applyBorder="1" applyAlignment="1">
      <alignment horizontal="right" vertical="top" wrapText="1" readingOrder="1"/>
    </xf>
    <xf numFmtId="0" fontId="18" fillId="4" borderId="28" xfId="1" applyNumberFormat="1" applyFont="1" applyFill="1" applyBorder="1" applyAlignment="1">
      <alignment vertical="top" wrapText="1" readingOrder="1"/>
    </xf>
    <xf numFmtId="187" fontId="18" fillId="0" borderId="28" xfId="1" applyNumberFormat="1" applyFont="1" applyFill="1" applyBorder="1" applyAlignment="1">
      <alignment vertical="top" wrapText="1" readingOrder="1"/>
    </xf>
    <xf numFmtId="187" fontId="19" fillId="0" borderId="28" xfId="1" applyNumberFormat="1" applyFont="1" applyFill="1" applyBorder="1" applyAlignment="1">
      <alignment vertical="top" wrapText="1" readingOrder="1"/>
    </xf>
    <xf numFmtId="187" fontId="21" fillId="0" borderId="28" xfId="1" applyNumberFormat="1" applyFont="1" applyFill="1" applyBorder="1" applyAlignment="1">
      <alignment horizontal="right" vertical="top" wrapText="1" readingOrder="1"/>
    </xf>
    <xf numFmtId="187" fontId="20" fillId="0" borderId="28" xfId="1" applyNumberFormat="1" applyFont="1" applyFill="1" applyBorder="1" applyAlignment="1">
      <alignment vertical="top" wrapText="1" readingOrder="1"/>
    </xf>
    <xf numFmtId="0" fontId="18" fillId="0" borderId="28" xfId="1" applyNumberFormat="1" applyFont="1" applyFill="1" applyBorder="1" applyAlignment="1">
      <alignment vertical="top" wrapText="1" readingOrder="1"/>
    </xf>
    <xf numFmtId="0" fontId="19" fillId="0" borderId="28" xfId="1" applyNumberFormat="1" applyFont="1" applyFill="1" applyBorder="1" applyAlignment="1">
      <alignment vertical="top" wrapText="1"/>
    </xf>
    <xf numFmtId="0" fontId="19" fillId="0" borderId="28" xfId="0" applyFont="1" applyFill="1" applyBorder="1"/>
    <xf numFmtId="0" fontId="18" fillId="4" borderId="28" xfId="1" applyNumberFormat="1" applyFont="1" applyFill="1" applyBorder="1" applyAlignment="1">
      <alignment horizontal="left" vertical="top" wrapText="1" readingOrder="1"/>
    </xf>
    <xf numFmtId="0" fontId="19" fillId="0" borderId="28" xfId="1" applyNumberFormat="1" applyFont="1" applyFill="1" applyBorder="1" applyAlignment="1">
      <alignment horizontal="left" vertical="top" wrapText="1"/>
    </xf>
    <xf numFmtId="0" fontId="18" fillId="3" borderId="6" xfId="1" applyNumberFormat="1" applyFont="1" applyFill="1" applyBorder="1" applyAlignment="1">
      <alignment vertical="top" wrapText="1" readingOrder="1"/>
    </xf>
    <xf numFmtId="187" fontId="20" fillId="0" borderId="11" xfId="1" applyNumberFormat="1" applyFont="1" applyFill="1" applyBorder="1" applyAlignment="1">
      <alignment horizontal="right" vertical="top" wrapText="1" readingOrder="1"/>
    </xf>
    <xf numFmtId="43" fontId="19" fillId="0" borderId="28" xfId="2" applyFont="1" applyFill="1" applyBorder="1"/>
    <xf numFmtId="43" fontId="19" fillId="0" borderId="28" xfId="2" applyFont="1" applyFill="1" applyBorder="1" applyAlignment="1">
      <alignment horizontal="center"/>
    </xf>
    <xf numFmtId="0" fontId="22" fillId="0" borderId="30" xfId="0" applyFont="1" applyFill="1" applyBorder="1"/>
    <xf numFmtId="0" fontId="22" fillId="0" borderId="0" xfId="0" applyFont="1" applyFill="1" applyBorder="1"/>
    <xf numFmtId="43" fontId="22" fillId="0" borderId="28" xfId="2" applyFont="1" applyFill="1" applyBorder="1"/>
    <xf numFmtId="0" fontId="19" fillId="0" borderId="29" xfId="0" applyFont="1" applyFill="1" applyBorder="1"/>
    <xf numFmtId="0" fontId="19" fillId="0" borderId="37" xfId="0" applyFont="1" applyFill="1" applyBorder="1"/>
    <xf numFmtId="4" fontId="23" fillId="0" borderId="28" xfId="0" applyNumberFormat="1" applyFont="1" applyFill="1" applyBorder="1"/>
    <xf numFmtId="0" fontId="6" fillId="0" borderId="0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6" fillId="2" borderId="7" xfId="1" applyNumberFormat="1" applyFont="1" applyFill="1" applyBorder="1" applyAlignment="1">
      <alignment horizontal="center" wrapText="1" readingOrder="1"/>
    </xf>
    <xf numFmtId="0" fontId="6" fillId="2" borderId="0" xfId="1" applyNumberFormat="1" applyFont="1" applyFill="1" applyBorder="1" applyAlignment="1">
      <alignment horizontal="center" wrapText="1" readingOrder="1"/>
    </xf>
    <xf numFmtId="0" fontId="7" fillId="0" borderId="6" xfId="1" applyNumberFormat="1" applyFont="1" applyFill="1" applyBorder="1" applyAlignment="1">
      <alignment horizontal="right" vertical="center" wrapText="1" readingOrder="1"/>
    </xf>
    <xf numFmtId="0" fontId="5" fillId="0" borderId="21" xfId="1" applyNumberFormat="1" applyFont="1" applyFill="1" applyBorder="1" applyAlignment="1">
      <alignment vertical="top" wrapText="1"/>
    </xf>
    <xf numFmtId="0" fontId="5" fillId="0" borderId="22" xfId="1" applyNumberFormat="1" applyFont="1" applyFill="1" applyBorder="1" applyAlignment="1">
      <alignment vertical="top" wrapText="1"/>
    </xf>
    <xf numFmtId="0" fontId="4" fillId="3" borderId="6" xfId="1" applyNumberFormat="1" applyFont="1" applyFill="1" applyBorder="1" applyAlignment="1">
      <alignment vertical="top" wrapText="1" readingOrder="1"/>
    </xf>
    <xf numFmtId="0" fontId="5" fillId="3" borderId="11" xfId="1" applyNumberFormat="1" applyFont="1" applyFill="1" applyBorder="1" applyAlignment="1">
      <alignment vertical="top" wrapText="1"/>
    </xf>
    <xf numFmtId="0" fontId="4" fillId="0" borderId="6" xfId="1" applyNumberFormat="1" applyFont="1" applyFill="1" applyBorder="1" applyAlignment="1">
      <alignment vertical="top" wrapText="1" readingOrder="1"/>
    </xf>
    <xf numFmtId="0" fontId="5" fillId="0" borderId="15" xfId="1" applyNumberFormat="1" applyFont="1" applyFill="1" applyBorder="1" applyAlignment="1">
      <alignment vertical="top" wrapText="1"/>
    </xf>
    <xf numFmtId="0" fontId="4" fillId="0" borderId="18" xfId="1" applyNumberFormat="1" applyFont="1" applyFill="1" applyBorder="1" applyAlignment="1">
      <alignment vertical="top" wrapText="1" readingOrder="1"/>
    </xf>
    <xf numFmtId="0" fontId="5" fillId="0" borderId="19" xfId="1" applyNumberFormat="1" applyFont="1" applyFill="1" applyBorder="1" applyAlignment="1">
      <alignment vertical="top" wrapText="1"/>
    </xf>
    <xf numFmtId="0" fontId="5" fillId="0" borderId="11" xfId="1" applyNumberFormat="1" applyFont="1" applyFill="1" applyBorder="1" applyAlignment="1">
      <alignment vertical="top" wrapText="1"/>
    </xf>
    <xf numFmtId="0" fontId="4" fillId="3" borderId="11" xfId="1" applyNumberFormat="1" applyFont="1" applyFill="1" applyBorder="1" applyAlignment="1">
      <alignment vertical="top" wrapText="1" readingOrder="1"/>
    </xf>
    <xf numFmtId="0" fontId="4" fillId="0" borderId="11" xfId="1" applyNumberFormat="1" applyFont="1" applyFill="1" applyBorder="1" applyAlignment="1">
      <alignment vertical="top" wrapText="1" readingOrder="1"/>
    </xf>
    <xf numFmtId="0" fontId="5" fillId="0" borderId="23" xfId="1" applyNumberFormat="1" applyFont="1" applyFill="1" applyBorder="1" applyAlignment="1">
      <alignment horizontal="left" vertical="top" wrapText="1"/>
    </xf>
    <xf numFmtId="0" fontId="5" fillId="0" borderId="21" xfId="1" applyNumberFormat="1" applyFont="1" applyFill="1" applyBorder="1" applyAlignment="1">
      <alignment horizontal="left" vertical="top" wrapText="1"/>
    </xf>
    <xf numFmtId="0" fontId="4" fillId="0" borderId="24" xfId="1" applyNumberFormat="1" applyFont="1" applyFill="1" applyBorder="1" applyAlignment="1">
      <alignment horizontal="left" vertical="top" wrapText="1" readingOrder="1"/>
    </xf>
    <xf numFmtId="0" fontId="4" fillId="0" borderId="19" xfId="1" applyNumberFormat="1" applyFont="1" applyFill="1" applyBorder="1" applyAlignment="1">
      <alignment horizontal="left" vertical="top" wrapText="1" readingOrder="1"/>
    </xf>
    <xf numFmtId="0" fontId="3" fillId="2" borderId="4" xfId="1" applyNumberFormat="1" applyFont="1" applyFill="1" applyBorder="1" applyAlignment="1">
      <alignment horizontal="center" vertical="center" wrapText="1" readingOrder="1"/>
    </xf>
    <xf numFmtId="0" fontId="8" fillId="2" borderId="11" xfId="1" applyNumberFormat="1" applyFont="1" applyFill="1" applyBorder="1" applyAlignment="1">
      <alignment vertical="top" wrapText="1"/>
    </xf>
    <xf numFmtId="0" fontId="8" fillId="2" borderId="16" xfId="1" applyNumberFormat="1" applyFont="1" applyFill="1" applyBorder="1" applyAlignment="1">
      <alignment vertical="top" wrapText="1"/>
    </xf>
    <xf numFmtId="0" fontId="3" fillId="2" borderId="26" xfId="1" applyNumberFormat="1" applyFont="1" applyFill="1" applyBorder="1" applyAlignment="1">
      <alignment horizontal="center" vertical="center" wrapText="1" readingOrder="1"/>
    </xf>
    <xf numFmtId="0" fontId="3" fillId="2" borderId="11" xfId="1" applyNumberFormat="1" applyFont="1" applyFill="1" applyBorder="1" applyAlignment="1">
      <alignment horizontal="center" vertical="center" wrapText="1" readingOrder="1"/>
    </xf>
    <xf numFmtId="0" fontId="3" fillId="2" borderId="16" xfId="1" applyNumberFormat="1" applyFont="1" applyFill="1" applyBorder="1" applyAlignment="1">
      <alignment horizontal="center" vertical="center" wrapText="1" readingOrder="1"/>
    </xf>
    <xf numFmtId="0" fontId="9" fillId="5" borderId="12" xfId="1" quotePrefix="1" applyNumberFormat="1" applyFont="1" applyFill="1" applyBorder="1" applyAlignment="1">
      <alignment horizontal="center" wrapText="1"/>
    </xf>
    <xf numFmtId="0" fontId="9" fillId="5" borderId="13" xfId="1" quotePrefix="1" applyNumberFormat="1" applyFont="1" applyFill="1" applyBorder="1" applyAlignment="1">
      <alignment horizontal="center" wrapText="1"/>
    </xf>
    <xf numFmtId="0" fontId="5" fillId="3" borderId="15" xfId="1" applyNumberFormat="1" applyFont="1" applyFill="1" applyBorder="1" applyAlignment="1">
      <alignment vertical="top" wrapText="1"/>
    </xf>
    <xf numFmtId="0" fontId="4" fillId="0" borderId="0" xfId="1" applyNumberFormat="1" applyFont="1" applyFill="1" applyBorder="1" applyAlignment="1">
      <alignment horizontal="left" vertical="top" wrapText="1" readingOrder="1"/>
    </xf>
    <xf numFmtId="0" fontId="5" fillId="0" borderId="0" xfId="0" applyFont="1" applyFill="1" applyBorder="1"/>
    <xf numFmtId="0" fontId="6" fillId="2" borderId="4" xfId="1" applyNumberFormat="1" applyFont="1" applyFill="1" applyBorder="1" applyAlignment="1">
      <alignment horizontal="center" vertical="center" wrapText="1" readingOrder="1"/>
    </xf>
    <xf numFmtId="0" fontId="5" fillId="0" borderId="5" xfId="1" applyNumberFormat="1" applyFont="1" applyFill="1" applyBorder="1" applyAlignment="1">
      <alignment vertical="top" wrapText="1"/>
    </xf>
    <xf numFmtId="0" fontId="9" fillId="5" borderId="25" xfId="1" applyNumberFormat="1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vertical="center"/>
    </xf>
    <xf numFmtId="0" fontId="6" fillId="2" borderId="6" xfId="1" applyNumberFormat="1" applyFont="1" applyFill="1" applyBorder="1" applyAlignment="1">
      <alignment horizontal="center" vertical="center" wrapText="1" readingOrder="1"/>
    </xf>
    <xf numFmtId="0" fontId="5" fillId="2" borderId="11" xfId="1" applyNumberFormat="1" applyFont="1" applyFill="1" applyBorder="1" applyAlignment="1">
      <alignment vertical="top" wrapText="1"/>
    </xf>
    <xf numFmtId="0" fontId="5" fillId="2" borderId="15" xfId="1" applyNumberFormat="1" applyFont="1" applyFill="1" applyBorder="1" applyAlignment="1">
      <alignment vertical="top" wrapText="1"/>
    </xf>
    <xf numFmtId="0" fontId="6" fillId="2" borderId="9" xfId="1" applyNumberFormat="1" applyFont="1" applyFill="1" applyBorder="1" applyAlignment="1">
      <alignment horizontal="center" vertical="center" wrapText="1" readingOrder="1"/>
    </xf>
    <xf numFmtId="0" fontId="5" fillId="0" borderId="10" xfId="1" applyNumberFormat="1" applyFont="1" applyFill="1" applyBorder="1" applyAlignment="1">
      <alignment vertical="top" wrapText="1"/>
    </xf>
    <xf numFmtId="0" fontId="5" fillId="2" borderId="12" xfId="1" applyNumberFormat="1" applyFont="1" applyFill="1" applyBorder="1" applyAlignment="1">
      <alignment vertical="top" wrapText="1"/>
    </xf>
    <xf numFmtId="0" fontId="5" fillId="0" borderId="13" xfId="1" applyNumberFormat="1" applyFont="1" applyFill="1" applyBorder="1" applyAlignment="1">
      <alignment vertical="top" wrapText="1"/>
    </xf>
    <xf numFmtId="0" fontId="8" fillId="2" borderId="7" xfId="1" applyNumberFormat="1" applyFont="1" applyFill="1" applyBorder="1" applyAlignment="1">
      <alignment vertical="top" wrapText="1"/>
    </xf>
    <xf numFmtId="0" fontId="8" fillId="2" borderId="17" xfId="1" applyNumberFormat="1" applyFont="1" applyFill="1" applyBorder="1" applyAlignment="1">
      <alignment vertical="top" wrapText="1"/>
    </xf>
    <xf numFmtId="0" fontId="4" fillId="2" borderId="4" xfId="1" applyNumberFormat="1" applyFont="1" applyFill="1" applyBorder="1" applyAlignment="1">
      <alignment horizontal="center" vertical="center" wrapText="1" readingOrder="1"/>
    </xf>
    <xf numFmtId="0" fontId="5" fillId="2" borderId="16" xfId="1" applyNumberFormat="1" applyFont="1" applyFill="1" applyBorder="1" applyAlignment="1">
      <alignment vertical="top" wrapText="1"/>
    </xf>
    <xf numFmtId="0" fontId="4" fillId="2" borderId="9" xfId="1" applyNumberFormat="1" applyFont="1" applyFill="1" applyBorder="1" applyAlignment="1">
      <alignment horizontal="center" vertical="center" wrapText="1" readingOrder="1"/>
    </xf>
    <xf numFmtId="0" fontId="5" fillId="5" borderId="27" xfId="1" quotePrefix="1" applyNumberFormat="1" applyFont="1" applyFill="1" applyBorder="1" applyAlignment="1">
      <alignment horizontal="center" vertical="center" wrapText="1"/>
    </xf>
    <xf numFmtId="0" fontId="5" fillId="5" borderId="15" xfId="1" applyNumberFormat="1" applyFont="1" applyFill="1" applyBorder="1" applyAlignment="1">
      <alignment horizontal="center" vertical="center" wrapText="1"/>
    </xf>
    <xf numFmtId="0" fontId="6" fillId="2" borderId="0" xfId="1" applyNumberFormat="1" applyFont="1" applyFill="1" applyBorder="1" applyAlignment="1">
      <alignment horizontal="left" vertical="center" wrapText="1" readingOrder="1"/>
    </xf>
    <xf numFmtId="0" fontId="5" fillId="2" borderId="0" xfId="1" applyNumberFormat="1" applyFont="1" applyFill="1" applyBorder="1" applyAlignment="1">
      <alignment vertical="top" wrapText="1"/>
    </xf>
    <xf numFmtId="0" fontId="11" fillId="0" borderId="35" xfId="0" applyFont="1" applyFill="1" applyBorder="1" applyAlignment="1">
      <alignment horizontal="center"/>
    </xf>
    <xf numFmtId="0" fontId="11" fillId="0" borderId="30" xfId="0" applyFont="1" applyFill="1" applyBorder="1" applyAlignment="1">
      <alignment horizontal="center"/>
    </xf>
    <xf numFmtId="0" fontId="11" fillId="0" borderId="36" xfId="0" applyFont="1" applyFill="1" applyBorder="1" applyAlignment="1">
      <alignment horizontal="center"/>
    </xf>
    <xf numFmtId="0" fontId="3" fillId="0" borderId="0" xfId="1" applyNumberFormat="1" applyFont="1" applyFill="1" applyBorder="1" applyAlignment="1">
      <alignment horizontal="left" vertical="top" wrapText="1" readingOrder="1"/>
    </xf>
    <xf numFmtId="0" fontId="8" fillId="0" borderId="0" xfId="0" applyFont="1" applyFill="1" applyBorder="1"/>
    <xf numFmtId="0" fontId="2" fillId="0" borderId="0" xfId="1" applyNumberFormat="1" applyFont="1" applyFill="1" applyBorder="1" applyAlignment="1">
      <alignment horizontal="center" vertical="center" wrapText="1" readingOrder="1"/>
    </xf>
    <xf numFmtId="0" fontId="3" fillId="0" borderId="0" xfId="1" applyNumberFormat="1" applyFont="1" applyFill="1" applyBorder="1" applyAlignment="1">
      <alignment horizontal="center" vertical="center" wrapText="1" readingOrder="1"/>
    </xf>
    <xf numFmtId="0" fontId="2" fillId="2" borderId="26" xfId="1" applyNumberFormat="1" applyFont="1" applyFill="1" applyBorder="1" applyAlignment="1">
      <alignment horizontal="center" vertical="center" wrapText="1" readingOrder="1"/>
    </xf>
    <xf numFmtId="0" fontId="8" fillId="0" borderId="3" xfId="1" applyNumberFormat="1" applyFont="1" applyFill="1" applyBorder="1" applyAlignment="1">
      <alignment vertical="top" wrapText="1"/>
    </xf>
    <xf numFmtId="0" fontId="11" fillId="5" borderId="1" xfId="1" applyNumberFormat="1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vertical="center"/>
    </xf>
    <xf numFmtId="0" fontId="2" fillId="2" borderId="6" xfId="1" applyNumberFormat="1" applyFont="1" applyFill="1" applyBorder="1" applyAlignment="1">
      <alignment horizontal="center" vertical="center" wrapText="1" readingOrder="1"/>
    </xf>
    <xf numFmtId="0" fontId="8" fillId="0" borderId="26" xfId="1" applyNumberFormat="1" applyFont="1" applyFill="1" applyBorder="1" applyAlignment="1">
      <alignment vertical="top" wrapText="1"/>
    </xf>
    <xf numFmtId="0" fontId="8" fillId="2" borderId="15" xfId="1" applyNumberFormat="1" applyFont="1" applyFill="1" applyBorder="1" applyAlignment="1">
      <alignment vertical="top" wrapText="1"/>
    </xf>
    <xf numFmtId="0" fontId="8" fillId="0" borderId="15" xfId="1" applyNumberFormat="1" applyFont="1" applyFill="1" applyBorder="1" applyAlignment="1">
      <alignment vertical="top" wrapText="1"/>
    </xf>
    <xf numFmtId="0" fontId="13" fillId="0" borderId="15" xfId="0" applyFont="1" applyFill="1" applyBorder="1"/>
    <xf numFmtId="0" fontId="2" fillId="2" borderId="0" xfId="1" applyNumberFormat="1" applyFont="1" applyFill="1" applyBorder="1" applyAlignment="1">
      <alignment horizontal="left" vertical="center" wrapText="1" readingOrder="1"/>
    </xf>
    <xf numFmtId="0" fontId="8" fillId="2" borderId="0" xfId="1" applyNumberFormat="1" applyFont="1" applyFill="1" applyBorder="1" applyAlignment="1">
      <alignment vertical="top" wrapText="1"/>
    </xf>
    <xf numFmtId="0" fontId="11" fillId="5" borderId="15" xfId="1" quotePrefix="1" applyNumberFormat="1" applyFont="1" applyFill="1" applyBorder="1" applyAlignment="1">
      <alignment horizontal="center" wrapText="1"/>
    </xf>
    <xf numFmtId="0" fontId="2" fillId="2" borderId="7" xfId="1" applyNumberFormat="1" applyFont="1" applyFill="1" applyBorder="1" applyAlignment="1">
      <alignment horizontal="center" wrapText="1" readingOrder="1"/>
    </xf>
    <xf numFmtId="0" fontId="2" fillId="2" borderId="0" xfId="1" applyNumberFormat="1" applyFont="1" applyFill="1" applyBorder="1" applyAlignment="1">
      <alignment horizontal="center" wrapText="1" readingOrder="1"/>
    </xf>
    <xf numFmtId="0" fontId="3" fillId="2" borderId="9" xfId="1" applyNumberFormat="1" applyFont="1" applyFill="1" applyBorder="1" applyAlignment="1">
      <alignment horizontal="center" vertical="center" wrapText="1" readingOrder="1"/>
    </xf>
    <xf numFmtId="0" fontId="8" fillId="5" borderId="27" xfId="1" quotePrefix="1" applyNumberFormat="1" applyFont="1" applyFill="1" applyBorder="1" applyAlignment="1">
      <alignment horizontal="center" vertical="center" wrapText="1"/>
    </xf>
    <xf numFmtId="0" fontId="8" fillId="5" borderId="11" xfId="1" applyNumberFormat="1" applyFont="1" applyFill="1" applyBorder="1" applyAlignment="1">
      <alignment horizontal="center" vertical="center" wrapText="1"/>
    </xf>
    <xf numFmtId="0" fontId="3" fillId="3" borderId="6" xfId="1" applyNumberFormat="1" applyFont="1" applyFill="1" applyBorder="1" applyAlignment="1">
      <alignment vertical="top" wrapText="1" readingOrder="1"/>
    </xf>
    <xf numFmtId="0" fontId="8" fillId="3" borderId="11" xfId="1" applyNumberFormat="1" applyFont="1" applyFill="1" applyBorder="1" applyAlignment="1">
      <alignment vertical="top" wrapText="1"/>
    </xf>
    <xf numFmtId="0" fontId="8" fillId="3" borderId="12" xfId="1" applyNumberFormat="1" applyFont="1" applyFill="1" applyBorder="1" applyAlignment="1">
      <alignment vertical="top" wrapText="1"/>
    </xf>
    <xf numFmtId="0" fontId="3" fillId="0" borderId="6" xfId="1" applyNumberFormat="1" applyFont="1" applyFill="1" applyBorder="1" applyAlignment="1">
      <alignment vertical="top" wrapText="1" readingOrder="1"/>
    </xf>
    <xf numFmtId="0" fontId="8" fillId="0" borderId="11" xfId="1" applyNumberFormat="1" applyFont="1" applyFill="1" applyBorder="1" applyAlignment="1">
      <alignment vertical="top" wrapText="1"/>
    </xf>
    <xf numFmtId="0" fontId="3" fillId="0" borderId="28" xfId="1" applyNumberFormat="1" applyFont="1" applyFill="1" applyBorder="1" applyAlignment="1">
      <alignment vertical="top" wrapText="1" readingOrder="1"/>
    </xf>
    <xf numFmtId="0" fontId="8" fillId="0" borderId="28" xfId="1" applyNumberFormat="1" applyFont="1" applyFill="1" applyBorder="1" applyAlignment="1">
      <alignment vertical="top" wrapText="1"/>
    </xf>
    <xf numFmtId="0" fontId="3" fillId="0" borderId="29" xfId="1" applyNumberFormat="1" applyFont="1" applyFill="1" applyBorder="1" applyAlignment="1">
      <alignment vertical="top" wrapText="1" readingOrder="1"/>
    </xf>
    <xf numFmtId="0" fontId="8" fillId="0" borderId="29" xfId="1" applyNumberFormat="1" applyFont="1" applyFill="1" applyBorder="1" applyAlignment="1">
      <alignment vertical="top" wrapText="1"/>
    </xf>
    <xf numFmtId="0" fontId="15" fillId="0" borderId="28" xfId="1" applyNumberFormat="1" applyFont="1" applyFill="1" applyBorder="1" applyAlignment="1">
      <alignment horizontal="right" vertical="center" wrapText="1" readingOrder="1"/>
    </xf>
    <xf numFmtId="0" fontId="3" fillId="3" borderId="23" xfId="1" applyNumberFormat="1" applyFont="1" applyFill="1" applyBorder="1" applyAlignment="1">
      <alignment vertical="top" wrapText="1" readingOrder="1"/>
    </xf>
    <xf numFmtId="0" fontId="8" fillId="3" borderId="7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horizontal="center" vertical="center" wrapText="1" readingOrder="1"/>
    </xf>
    <xf numFmtId="0" fontId="2" fillId="2" borderId="3" xfId="1" applyNumberFormat="1" applyFont="1" applyFill="1" applyBorder="1" applyAlignment="1">
      <alignment horizontal="center" vertical="center" wrapText="1" readingOrder="1"/>
    </xf>
    <xf numFmtId="0" fontId="8" fillId="0" borderId="28" xfId="1" applyNumberFormat="1" applyFont="1" applyFill="1" applyBorder="1" applyAlignment="1">
      <alignment horizontal="left" vertical="top" wrapText="1"/>
    </xf>
    <xf numFmtId="0" fontId="3" fillId="3" borderId="7" xfId="1" applyNumberFormat="1" applyFont="1" applyFill="1" applyBorder="1" applyAlignment="1">
      <alignment vertical="top" wrapText="1" readingOrder="1"/>
    </xf>
    <xf numFmtId="0" fontId="3" fillId="0" borderId="28" xfId="1" applyNumberFormat="1" applyFont="1" applyFill="1" applyBorder="1" applyAlignment="1">
      <alignment horizontal="left" vertical="top" wrapText="1" readingOrder="1"/>
    </xf>
    <xf numFmtId="0" fontId="8" fillId="0" borderId="28" xfId="0" applyFont="1" applyFill="1" applyBorder="1" applyAlignment="1">
      <alignment horizontal="left"/>
    </xf>
    <xf numFmtId="0" fontId="8" fillId="0" borderId="29" xfId="0" applyFont="1" applyFill="1" applyBorder="1" applyAlignment="1">
      <alignment horizontal="left"/>
    </xf>
    <xf numFmtId="0" fontId="16" fillId="0" borderId="28" xfId="0" applyFont="1" applyFill="1" applyBorder="1" applyAlignment="1">
      <alignment horizontal="right"/>
    </xf>
    <xf numFmtId="0" fontId="8" fillId="0" borderId="32" xfId="0" applyFont="1" applyFill="1" applyBorder="1" applyAlignment="1">
      <alignment horizontal="center" vertical="top"/>
    </xf>
    <xf numFmtId="0" fontId="8" fillId="0" borderId="33" xfId="0" applyFont="1" applyFill="1" applyBorder="1" applyAlignment="1">
      <alignment horizontal="center" vertical="top"/>
    </xf>
    <xf numFmtId="0" fontId="8" fillId="0" borderId="34" xfId="0" applyFont="1" applyFill="1" applyBorder="1" applyAlignment="1">
      <alignment horizontal="center" vertical="top"/>
    </xf>
    <xf numFmtId="0" fontId="15" fillId="0" borderId="11" xfId="1" applyNumberFormat="1" applyFont="1" applyFill="1" applyBorder="1" applyAlignment="1">
      <alignment horizontal="right" vertical="center" wrapText="1" readingOrder="1"/>
    </xf>
    <xf numFmtId="0" fontId="8" fillId="0" borderId="14" xfId="1" applyNumberFormat="1" applyFont="1" applyFill="1" applyBorder="1" applyAlignment="1">
      <alignment vertical="top" wrapText="1"/>
    </xf>
    <xf numFmtId="0" fontId="8" fillId="0" borderId="0" xfId="1" applyNumberFormat="1" applyFont="1" applyFill="1" applyBorder="1" applyAlignment="1">
      <alignment vertical="top" wrapText="1"/>
    </xf>
    <xf numFmtId="0" fontId="8" fillId="0" borderId="13" xfId="1" applyNumberFormat="1" applyFont="1" applyFill="1" applyBorder="1" applyAlignment="1">
      <alignment vertical="top" wrapText="1"/>
    </xf>
    <xf numFmtId="0" fontId="18" fillId="0" borderId="28" xfId="1" applyNumberFormat="1" applyFont="1" applyFill="1" applyBorder="1" applyAlignment="1">
      <alignment vertical="top" wrapText="1" readingOrder="1"/>
    </xf>
    <xf numFmtId="0" fontId="19" fillId="0" borderId="28" xfId="1" applyNumberFormat="1" applyFont="1" applyFill="1" applyBorder="1" applyAlignment="1">
      <alignment vertical="top" wrapText="1"/>
    </xf>
    <xf numFmtId="0" fontId="19" fillId="0" borderId="35" xfId="0" applyFont="1" applyFill="1" applyBorder="1" applyAlignment="1">
      <alignment horizontal="right"/>
    </xf>
    <xf numFmtId="0" fontId="19" fillId="0" borderId="36" xfId="0" applyFont="1" applyFill="1" applyBorder="1" applyAlignment="1">
      <alignment horizontal="right"/>
    </xf>
    <xf numFmtId="0" fontId="2" fillId="2" borderId="23" xfId="1" applyNumberFormat="1" applyFont="1" applyFill="1" applyBorder="1" applyAlignment="1">
      <alignment horizontal="center" vertical="center" wrapText="1" readingOrder="1"/>
    </xf>
    <xf numFmtId="0" fontId="2" fillId="2" borderId="22" xfId="1" applyNumberFormat="1" applyFont="1" applyFill="1" applyBorder="1" applyAlignment="1">
      <alignment horizontal="center" vertical="center" wrapText="1" readingOrder="1"/>
    </xf>
    <xf numFmtId="0" fontId="8" fillId="2" borderId="12" xfId="1" quotePrefix="1" applyNumberFormat="1" applyFont="1" applyFill="1" applyBorder="1" applyAlignment="1">
      <alignment horizontal="center" vertical="top" wrapText="1"/>
    </xf>
    <xf numFmtId="0" fontId="8" fillId="2" borderId="13" xfId="1" applyNumberFormat="1" applyFont="1" applyFill="1" applyBorder="1" applyAlignment="1">
      <alignment horizontal="center" vertical="top" wrapText="1"/>
    </xf>
    <xf numFmtId="0" fontId="19" fillId="0" borderId="35" xfId="0" applyFont="1" applyFill="1" applyBorder="1" applyAlignment="1">
      <alignment horizontal="left" wrapText="1"/>
    </xf>
    <xf numFmtId="0" fontId="19" fillId="0" borderId="36" xfId="0" applyFont="1" applyFill="1" applyBorder="1" applyAlignment="1">
      <alignment horizontal="left" wrapText="1"/>
    </xf>
    <xf numFmtId="0" fontId="17" fillId="2" borderId="27" xfId="1" applyNumberFormat="1" applyFont="1" applyFill="1" applyBorder="1" applyAlignment="1">
      <alignment horizontal="center" vertical="top" wrapText="1"/>
    </xf>
    <xf numFmtId="0" fontId="17" fillId="2" borderId="16" xfId="1" applyNumberFormat="1" applyFont="1" applyFill="1" applyBorder="1" applyAlignment="1">
      <alignment horizontal="center" vertical="top" wrapText="1"/>
    </xf>
    <xf numFmtId="0" fontId="17" fillId="2" borderId="4" xfId="1" applyNumberFormat="1" applyFont="1" applyFill="1" applyBorder="1" applyAlignment="1">
      <alignment horizontal="center" vertical="center" wrapText="1" readingOrder="1"/>
    </xf>
    <xf numFmtId="0" fontId="17" fillId="2" borderId="7" xfId="1" applyNumberFormat="1" applyFont="1" applyFill="1" applyBorder="1" applyAlignment="1">
      <alignment vertical="top" wrapText="1"/>
    </xf>
    <xf numFmtId="0" fontId="17" fillId="2" borderId="17" xfId="1" applyNumberFormat="1" applyFont="1" applyFill="1" applyBorder="1" applyAlignment="1">
      <alignment vertical="top" wrapText="1"/>
    </xf>
    <xf numFmtId="0" fontId="18" fillId="3" borderId="6" xfId="1" applyNumberFormat="1" applyFont="1" applyFill="1" applyBorder="1" applyAlignment="1">
      <alignment vertical="top" wrapText="1" readingOrder="1"/>
    </xf>
    <xf numFmtId="0" fontId="19" fillId="3" borderId="11" xfId="1" applyNumberFormat="1" applyFont="1" applyFill="1" applyBorder="1" applyAlignment="1">
      <alignment vertical="top" wrapText="1"/>
    </xf>
    <xf numFmtId="0" fontId="19" fillId="3" borderId="12" xfId="1" applyNumberFormat="1" applyFont="1" applyFill="1" applyBorder="1" applyAlignment="1">
      <alignment vertical="top" wrapText="1"/>
    </xf>
    <xf numFmtId="0" fontId="18" fillId="0" borderId="6" xfId="1" applyNumberFormat="1" applyFont="1" applyFill="1" applyBorder="1" applyAlignment="1">
      <alignment vertical="top" wrapText="1" readingOrder="1"/>
    </xf>
    <xf numFmtId="0" fontId="19" fillId="0" borderId="11" xfId="1" applyNumberFormat="1" applyFont="1" applyFill="1" applyBorder="1" applyAlignment="1">
      <alignment vertical="top" wrapText="1"/>
    </xf>
    <xf numFmtId="0" fontId="18" fillId="0" borderId="29" xfId="1" applyNumberFormat="1" applyFont="1" applyFill="1" applyBorder="1" applyAlignment="1">
      <alignment vertical="top" wrapText="1" readingOrder="1"/>
    </xf>
    <xf numFmtId="0" fontId="19" fillId="0" borderId="29" xfId="1" applyNumberFormat="1" applyFont="1" applyFill="1" applyBorder="1" applyAlignment="1">
      <alignment vertical="top" wrapText="1"/>
    </xf>
    <xf numFmtId="0" fontId="20" fillId="0" borderId="28" xfId="1" applyNumberFormat="1" applyFont="1" applyFill="1" applyBorder="1" applyAlignment="1">
      <alignment horizontal="right" vertical="center" wrapText="1" readingOrder="1"/>
    </xf>
    <xf numFmtId="0" fontId="18" fillId="3" borderId="23" xfId="1" applyNumberFormat="1" applyFont="1" applyFill="1" applyBorder="1" applyAlignment="1">
      <alignment vertical="top" wrapText="1" readingOrder="1"/>
    </xf>
    <xf numFmtId="0" fontId="19" fillId="3" borderId="7" xfId="1" applyNumberFormat="1" applyFont="1" applyFill="1" applyBorder="1" applyAlignment="1">
      <alignment vertical="top" wrapText="1"/>
    </xf>
    <xf numFmtId="0" fontId="18" fillId="0" borderId="28" xfId="1" applyNumberFormat="1" applyFont="1" applyFill="1" applyBorder="1" applyAlignment="1">
      <alignment horizontal="left" vertical="top" wrapText="1" readingOrder="1"/>
    </xf>
    <xf numFmtId="0" fontId="19" fillId="0" borderId="28" xfId="1" applyNumberFormat="1" applyFont="1" applyFill="1" applyBorder="1" applyAlignment="1">
      <alignment vertical="top" wrapText="1" readingOrder="1"/>
    </xf>
    <xf numFmtId="0" fontId="18" fillId="3" borderId="7" xfId="1" applyNumberFormat="1" applyFont="1" applyFill="1" applyBorder="1" applyAlignment="1">
      <alignment vertical="top" wrapText="1" readingOrder="1"/>
    </xf>
    <xf numFmtId="0" fontId="19" fillId="0" borderId="28" xfId="1" applyNumberFormat="1" applyFont="1" applyFill="1" applyBorder="1" applyAlignment="1">
      <alignment horizontal="left" vertical="top" wrapText="1"/>
    </xf>
    <xf numFmtId="0" fontId="23" fillId="0" borderId="35" xfId="0" applyFont="1" applyFill="1" applyBorder="1" applyAlignment="1">
      <alignment horizontal="center"/>
    </xf>
    <xf numFmtId="0" fontId="23" fillId="0" borderId="30" xfId="0" applyFont="1" applyFill="1" applyBorder="1" applyAlignment="1">
      <alignment horizontal="center"/>
    </xf>
    <xf numFmtId="0" fontId="23" fillId="0" borderId="36" xfId="0" applyFont="1" applyFill="1" applyBorder="1" applyAlignment="1">
      <alignment horizontal="center"/>
    </xf>
    <xf numFmtId="0" fontId="18" fillId="0" borderId="35" xfId="1" applyNumberFormat="1" applyFont="1" applyFill="1" applyBorder="1" applyAlignment="1">
      <alignment horizontal="left" vertical="top" wrapText="1" readingOrder="1"/>
    </xf>
    <xf numFmtId="0" fontId="18" fillId="0" borderId="36" xfId="1" applyNumberFormat="1" applyFont="1" applyFill="1" applyBorder="1" applyAlignment="1">
      <alignment horizontal="left" vertical="top" wrapText="1" readingOrder="1"/>
    </xf>
    <xf numFmtId="0" fontId="20" fillId="0" borderId="11" xfId="1" applyNumberFormat="1" applyFont="1" applyFill="1" applyBorder="1" applyAlignment="1">
      <alignment horizontal="right" vertical="center" wrapText="1" readingOrder="1"/>
    </xf>
    <xf numFmtId="0" fontId="19" fillId="0" borderId="14" xfId="1" applyNumberFormat="1" applyFont="1" applyFill="1" applyBorder="1" applyAlignment="1">
      <alignment vertical="top" wrapText="1"/>
    </xf>
    <xf numFmtId="0" fontId="19" fillId="0" borderId="0" xfId="1" applyNumberFormat="1" applyFont="1" applyFill="1" applyBorder="1" applyAlignment="1">
      <alignment vertical="top" wrapText="1"/>
    </xf>
    <xf numFmtId="0" fontId="19" fillId="0" borderId="13" xfId="1" applyNumberFormat="1" applyFont="1" applyFill="1" applyBorder="1" applyAlignment="1">
      <alignment vertical="top" wrapText="1"/>
    </xf>
    <xf numFmtId="0" fontId="19" fillId="0" borderId="32" xfId="0" applyFont="1" applyFill="1" applyBorder="1" applyAlignment="1">
      <alignment horizontal="center" vertical="top"/>
    </xf>
    <xf numFmtId="0" fontId="19" fillId="0" borderId="33" xfId="0" applyFont="1" applyFill="1" applyBorder="1" applyAlignment="1">
      <alignment horizontal="center" vertical="top"/>
    </xf>
    <xf numFmtId="0" fontId="19" fillId="0" borderId="34" xfId="0" applyFont="1" applyFill="1" applyBorder="1" applyAlignment="1">
      <alignment horizontal="center" vertical="top"/>
    </xf>
    <xf numFmtId="0" fontId="19" fillId="0" borderId="28" xfId="0" applyFont="1" applyFill="1" applyBorder="1" applyAlignment="1">
      <alignment horizontal="left"/>
    </xf>
    <xf numFmtId="0" fontId="19" fillId="0" borderId="29" xfId="0" applyFont="1" applyFill="1" applyBorder="1" applyAlignment="1">
      <alignment horizontal="left"/>
    </xf>
    <xf numFmtId="0" fontId="22" fillId="0" borderId="28" xfId="0" applyFont="1" applyFill="1" applyBorder="1" applyAlignment="1">
      <alignment horizontal="right"/>
    </xf>
    <xf numFmtId="0" fontId="19" fillId="0" borderId="35" xfId="0" applyFont="1" applyFill="1" applyBorder="1" applyAlignment="1">
      <alignment horizontal="left"/>
    </xf>
    <xf numFmtId="0" fontId="19" fillId="0" borderId="36" xfId="0" applyFont="1" applyFill="1" applyBorder="1" applyAlignment="1">
      <alignment horizontal="left"/>
    </xf>
  </cellXfs>
  <cellStyles count="3">
    <cellStyle name="Normal" xfId="1"/>
    <cellStyle name="เครื่องหมายจุลภาค" xfId="2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A9A9A9"/>
      <rgbColor rgb="00FFFFFF"/>
      <rgbColor rgb="00483D8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4"/>
  <sheetViews>
    <sheetView showGridLines="0" topLeftCell="B3" workbookViewId="0">
      <selection activeCell="L61" sqref="L61"/>
    </sheetView>
  </sheetViews>
  <sheetFormatPr defaultRowHeight="18.75"/>
  <cols>
    <col min="1" max="1" width="3.375" style="1" hidden="1" customWidth="1"/>
    <col min="2" max="2" width="10.375" style="1" customWidth="1"/>
    <col min="3" max="3" width="0.375" style="1" customWidth="1"/>
    <col min="4" max="4" width="1.625" style="1" customWidth="1"/>
    <col min="5" max="5" width="14.75" style="1" customWidth="1"/>
    <col min="6" max="6" width="7.125" style="1" hidden="1" customWidth="1"/>
    <col min="7" max="7" width="1.5" style="1" hidden="1" customWidth="1"/>
    <col min="8" max="8" width="2.625" style="1" hidden="1" customWidth="1"/>
    <col min="9" max="9" width="0.75" style="1" hidden="1" customWidth="1"/>
    <col min="10" max="10" width="5" style="1" hidden="1" customWidth="1"/>
    <col min="11" max="11" width="0.125" style="1" customWidth="1"/>
    <col min="12" max="12" width="13.125" style="1" customWidth="1"/>
    <col min="13" max="13" width="12.125" style="1" customWidth="1"/>
    <col min="14" max="14" width="12.375" style="1" customWidth="1"/>
    <col min="15" max="15" width="13.875" style="1" customWidth="1"/>
    <col min="16" max="16" width="12.625" style="1" customWidth="1"/>
    <col min="17" max="17" width="10" style="1" customWidth="1"/>
    <col min="18" max="18" width="9.375" style="1" customWidth="1"/>
    <col min="19" max="19" width="12.75" style="1" customWidth="1"/>
    <col min="20" max="20" width="12.25" style="1" customWidth="1"/>
    <col min="21" max="16384" width="9" style="1"/>
  </cols>
  <sheetData>
    <row r="1" spans="1:20" hidden="1">
      <c r="A1" s="149"/>
      <c r="B1" s="150"/>
      <c r="C1" s="150"/>
      <c r="D1" s="150"/>
      <c r="E1" s="150"/>
      <c r="F1" s="150"/>
      <c r="G1" s="150"/>
      <c r="H1" s="150"/>
    </row>
    <row r="2" spans="1:20" ht="15.4" hidden="1" customHeight="1"/>
    <row r="3" spans="1:20" ht="21.2" customHeight="1">
      <c r="A3" s="120" t="s">
        <v>0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</row>
    <row r="4" spans="1:20" ht="21.2" customHeight="1">
      <c r="A4" s="120" t="s">
        <v>1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</row>
    <row r="5" spans="1:20" ht="18" customHeight="1">
      <c r="A5" s="121" t="s">
        <v>101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</row>
    <row r="6" spans="1:20" ht="3.2" customHeight="1"/>
    <row r="7" spans="1:20" ht="63">
      <c r="A7" s="2"/>
      <c r="B7" s="3"/>
      <c r="C7" s="3"/>
      <c r="D7" s="3"/>
      <c r="E7" s="3"/>
      <c r="F7" s="3"/>
      <c r="G7" s="3"/>
      <c r="H7" s="3"/>
      <c r="I7" s="3"/>
      <c r="J7" s="3"/>
      <c r="K7" s="4"/>
      <c r="L7" s="151" t="s">
        <v>2</v>
      </c>
      <c r="M7" s="152"/>
      <c r="N7" s="153" t="s">
        <v>3</v>
      </c>
      <c r="O7" s="154"/>
      <c r="P7" s="5" t="s">
        <v>4</v>
      </c>
      <c r="Q7" s="27" t="s">
        <v>5</v>
      </c>
      <c r="R7" s="27" t="s">
        <v>6</v>
      </c>
      <c r="S7" s="5" t="s">
        <v>7</v>
      </c>
      <c r="T7" s="155" t="s">
        <v>8</v>
      </c>
    </row>
    <row r="8" spans="1:20" hidden="1">
      <c r="A8" s="6"/>
      <c r="B8" s="7"/>
      <c r="C8" s="7"/>
      <c r="D8" s="7"/>
      <c r="E8" s="7"/>
      <c r="F8" s="7"/>
      <c r="G8" s="7"/>
      <c r="H8" s="7"/>
      <c r="I8" s="7"/>
      <c r="J8" s="7"/>
      <c r="K8" s="8"/>
      <c r="L8" s="158" t="s">
        <v>9</v>
      </c>
      <c r="M8" s="159"/>
      <c r="N8" s="31"/>
      <c r="O8" s="32"/>
      <c r="P8" s="158" t="s">
        <v>11</v>
      </c>
      <c r="Q8" s="158" t="s">
        <v>12</v>
      </c>
      <c r="R8" s="158" t="s">
        <v>13</v>
      </c>
      <c r="S8" s="158" t="s">
        <v>14</v>
      </c>
      <c r="T8" s="156"/>
    </row>
    <row r="9" spans="1:20">
      <c r="A9" s="6"/>
      <c r="B9" s="7"/>
      <c r="C9" s="7"/>
      <c r="D9" s="7"/>
      <c r="E9" s="7"/>
      <c r="F9" s="7"/>
      <c r="G9" s="7"/>
      <c r="H9" s="169" t="s">
        <v>15</v>
      </c>
      <c r="I9" s="170"/>
      <c r="J9" s="170"/>
      <c r="K9" s="8"/>
      <c r="L9" s="160"/>
      <c r="M9" s="161"/>
      <c r="N9" s="146" t="s">
        <v>10</v>
      </c>
      <c r="O9" s="147"/>
      <c r="P9" s="160"/>
      <c r="Q9" s="157"/>
      <c r="R9" s="157"/>
      <c r="S9" s="157"/>
      <c r="T9" s="156"/>
    </row>
    <row r="10" spans="1:20" ht="14.25" customHeight="1">
      <c r="A10" s="6"/>
      <c r="B10" s="7"/>
      <c r="C10" s="7"/>
      <c r="D10" s="7"/>
      <c r="E10" s="7"/>
      <c r="F10" s="7"/>
      <c r="G10" s="7"/>
      <c r="H10" s="170"/>
      <c r="I10" s="170"/>
      <c r="J10" s="170"/>
      <c r="K10" s="8"/>
      <c r="L10" s="164" t="s">
        <v>16</v>
      </c>
      <c r="M10" s="164" t="s">
        <v>17</v>
      </c>
      <c r="N10" s="143" t="s">
        <v>18</v>
      </c>
      <c r="O10" s="140" t="s">
        <v>19</v>
      </c>
      <c r="P10" s="140" t="s">
        <v>20</v>
      </c>
      <c r="Q10" s="140" t="s">
        <v>21</v>
      </c>
      <c r="R10" s="140" t="s">
        <v>22</v>
      </c>
      <c r="S10" s="164" t="s">
        <v>23</v>
      </c>
      <c r="T10" s="156"/>
    </row>
    <row r="11" spans="1:20">
      <c r="A11" s="122" t="s">
        <v>24</v>
      </c>
      <c r="B11" s="123"/>
      <c r="C11" s="123"/>
      <c r="D11" s="123"/>
      <c r="E11" s="123"/>
      <c r="F11" s="7"/>
      <c r="G11" s="7"/>
      <c r="H11" s="7"/>
      <c r="I11" s="7"/>
      <c r="J11" s="7"/>
      <c r="K11" s="8"/>
      <c r="L11" s="156"/>
      <c r="M11" s="156"/>
      <c r="N11" s="144"/>
      <c r="O11" s="141"/>
      <c r="P11" s="162"/>
      <c r="Q11" s="141"/>
      <c r="R11" s="141"/>
      <c r="S11" s="156"/>
      <c r="T11" s="156"/>
    </row>
    <row r="12" spans="1:20" ht="20.25" customHeight="1">
      <c r="A12" s="122"/>
      <c r="B12" s="123"/>
      <c r="C12" s="123"/>
      <c r="D12" s="123"/>
      <c r="E12" s="123"/>
      <c r="F12" s="7"/>
      <c r="G12" s="7"/>
      <c r="H12" s="7"/>
      <c r="I12" s="7"/>
      <c r="J12" s="7"/>
      <c r="K12" s="8"/>
      <c r="L12" s="165"/>
      <c r="M12" s="165"/>
      <c r="N12" s="145"/>
      <c r="O12" s="142"/>
      <c r="P12" s="163"/>
      <c r="Q12" s="142"/>
      <c r="R12" s="142"/>
      <c r="S12" s="165"/>
      <c r="T12" s="156"/>
    </row>
    <row r="13" spans="1:20" ht="18.75" hidden="1" customHeight="1">
      <c r="A13" s="122"/>
      <c r="B13" s="123"/>
      <c r="C13" s="123"/>
      <c r="D13" s="123"/>
      <c r="E13" s="123"/>
      <c r="F13" s="7"/>
      <c r="G13" s="7"/>
      <c r="H13" s="7"/>
      <c r="I13" s="7"/>
      <c r="J13" s="7"/>
      <c r="K13" s="8"/>
      <c r="L13" s="166" t="s">
        <v>25</v>
      </c>
      <c r="M13" s="166" t="s">
        <v>26</v>
      </c>
      <c r="N13" s="167" t="s">
        <v>27</v>
      </c>
      <c r="O13" s="166" t="s">
        <v>28</v>
      </c>
      <c r="P13" s="166" t="s">
        <v>29</v>
      </c>
      <c r="Q13" s="166" t="s">
        <v>30</v>
      </c>
      <c r="R13" s="166" t="s">
        <v>31</v>
      </c>
      <c r="S13" s="166" t="s">
        <v>32</v>
      </c>
      <c r="T13" s="156"/>
    </row>
    <row r="14" spans="1:20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1"/>
      <c r="L14" s="157"/>
      <c r="M14" s="157"/>
      <c r="N14" s="168"/>
      <c r="O14" s="157"/>
      <c r="P14" s="160"/>
      <c r="Q14" s="157"/>
      <c r="R14" s="157"/>
      <c r="S14" s="157"/>
      <c r="T14" s="157"/>
    </row>
    <row r="15" spans="1:20" ht="18.75" customHeight="1">
      <c r="A15" s="127" t="s">
        <v>33</v>
      </c>
      <c r="B15" s="129" t="s">
        <v>23</v>
      </c>
      <c r="C15" s="12" t="s">
        <v>33</v>
      </c>
      <c r="D15" s="131" t="s">
        <v>34</v>
      </c>
      <c r="E15" s="132"/>
      <c r="F15" s="13" t="s">
        <v>35</v>
      </c>
      <c r="G15" s="129" t="s">
        <v>36</v>
      </c>
      <c r="H15" s="125"/>
      <c r="I15" s="125"/>
      <c r="J15" s="125"/>
      <c r="K15" s="126"/>
      <c r="L15" s="14">
        <v>0</v>
      </c>
      <c r="M15" s="14">
        <v>0</v>
      </c>
      <c r="N15" s="15"/>
      <c r="O15" s="14">
        <v>0</v>
      </c>
      <c r="P15" s="14">
        <v>0</v>
      </c>
      <c r="Q15" s="14">
        <v>0</v>
      </c>
      <c r="R15" s="14">
        <v>0</v>
      </c>
      <c r="S15" s="14">
        <f>11095+11095</f>
        <v>22190</v>
      </c>
      <c r="T15" s="14">
        <f>SUM(L15:S15)</f>
        <v>22190</v>
      </c>
    </row>
    <row r="16" spans="1:20" ht="18.75" customHeight="1">
      <c r="A16" s="128"/>
      <c r="B16" s="133"/>
      <c r="C16" s="12" t="s">
        <v>33</v>
      </c>
      <c r="D16" s="131" t="s">
        <v>37</v>
      </c>
      <c r="E16" s="132"/>
      <c r="F16" s="13" t="s">
        <v>38</v>
      </c>
      <c r="G16" s="129" t="s">
        <v>36</v>
      </c>
      <c r="H16" s="125"/>
      <c r="I16" s="125"/>
      <c r="J16" s="125"/>
      <c r="K16" s="126"/>
      <c r="L16" s="14">
        <v>0</v>
      </c>
      <c r="M16" s="14">
        <v>0</v>
      </c>
      <c r="N16" s="15"/>
      <c r="O16" s="14">
        <v>0</v>
      </c>
      <c r="P16" s="14">
        <v>0</v>
      </c>
      <c r="Q16" s="14">
        <v>0</v>
      </c>
      <c r="R16" s="14">
        <v>0</v>
      </c>
      <c r="S16" s="14">
        <f>1415500+754300+101600</f>
        <v>2271400</v>
      </c>
      <c r="T16" s="14">
        <f t="shared" ref="T16:T19" si="0">SUM(L16:S16)</f>
        <v>2271400</v>
      </c>
    </row>
    <row r="17" spans="1:20" ht="18.75" customHeight="1">
      <c r="A17" s="128"/>
      <c r="B17" s="133"/>
      <c r="C17" s="12" t="s">
        <v>33</v>
      </c>
      <c r="D17" s="131" t="s">
        <v>39</v>
      </c>
      <c r="E17" s="132"/>
      <c r="F17" s="13" t="s">
        <v>40</v>
      </c>
      <c r="G17" s="129" t="s">
        <v>36</v>
      </c>
      <c r="H17" s="125"/>
      <c r="I17" s="125"/>
      <c r="J17" s="125"/>
      <c r="K17" s="126"/>
      <c r="L17" s="14">
        <v>0</v>
      </c>
      <c r="M17" s="14">
        <v>0</v>
      </c>
      <c r="N17" s="15"/>
      <c r="O17" s="14">
        <v>0</v>
      </c>
      <c r="P17" s="14">
        <v>0</v>
      </c>
      <c r="Q17" s="14">
        <v>0</v>
      </c>
      <c r="R17" s="14">
        <v>0</v>
      </c>
      <c r="S17" s="14">
        <f>368800+216800+64800</f>
        <v>650400</v>
      </c>
      <c r="T17" s="14">
        <f t="shared" si="0"/>
        <v>650400</v>
      </c>
    </row>
    <row r="18" spans="1:20" ht="18.75" customHeight="1">
      <c r="A18" s="128"/>
      <c r="B18" s="133"/>
      <c r="C18" s="12" t="s">
        <v>33</v>
      </c>
      <c r="D18" s="131" t="s">
        <v>41</v>
      </c>
      <c r="E18" s="132"/>
      <c r="F18" s="13" t="s">
        <v>42</v>
      </c>
      <c r="G18" s="129" t="s">
        <v>36</v>
      </c>
      <c r="H18" s="125"/>
      <c r="I18" s="125"/>
      <c r="J18" s="125"/>
      <c r="K18" s="126"/>
      <c r="L18" s="14">
        <v>0</v>
      </c>
      <c r="M18" s="14">
        <v>0</v>
      </c>
      <c r="N18" s="15"/>
      <c r="O18" s="14">
        <v>0</v>
      </c>
      <c r="P18" s="14">
        <v>0</v>
      </c>
      <c r="Q18" s="14">
        <v>0</v>
      </c>
      <c r="R18" s="14">
        <v>0</v>
      </c>
      <c r="S18" s="14">
        <f>27500+27500+27500</f>
        <v>82500</v>
      </c>
      <c r="T18" s="14">
        <f t="shared" si="0"/>
        <v>82500</v>
      </c>
    </row>
    <row r="19" spans="1:20" ht="18.75" customHeight="1">
      <c r="A19" s="128"/>
      <c r="B19" s="133"/>
      <c r="C19" s="12" t="s">
        <v>33</v>
      </c>
      <c r="D19" s="131" t="s">
        <v>43</v>
      </c>
      <c r="E19" s="132"/>
      <c r="F19" s="13" t="s">
        <v>44</v>
      </c>
      <c r="G19" s="129" t="s">
        <v>36</v>
      </c>
      <c r="H19" s="125"/>
      <c r="I19" s="125"/>
      <c r="J19" s="125"/>
      <c r="K19" s="126"/>
      <c r="L19" s="14">
        <v>0</v>
      </c>
      <c r="M19" s="14">
        <v>0</v>
      </c>
      <c r="N19" s="15"/>
      <c r="O19" s="14">
        <v>0</v>
      </c>
      <c r="P19" s="14">
        <v>0</v>
      </c>
      <c r="Q19" s="14">
        <v>0</v>
      </c>
      <c r="R19" s="14">
        <v>0</v>
      </c>
      <c r="S19" s="14">
        <v>320000</v>
      </c>
      <c r="T19" s="14">
        <f t="shared" si="0"/>
        <v>320000</v>
      </c>
    </row>
    <row r="20" spans="1:20" ht="18.75" customHeight="1">
      <c r="A20" s="148"/>
      <c r="B20" s="124" t="s">
        <v>8</v>
      </c>
      <c r="C20" s="125"/>
      <c r="D20" s="125"/>
      <c r="E20" s="125"/>
      <c r="F20" s="125"/>
      <c r="G20" s="125"/>
      <c r="H20" s="125"/>
      <c r="I20" s="125"/>
      <c r="J20" s="125"/>
      <c r="K20" s="126"/>
      <c r="L20" s="16">
        <f>SUM(L15:L19)</f>
        <v>0</v>
      </c>
      <c r="M20" s="16">
        <v>0</v>
      </c>
      <c r="N20" s="17"/>
      <c r="O20" s="16">
        <v>0</v>
      </c>
      <c r="P20" s="16">
        <v>0</v>
      </c>
      <c r="Q20" s="16">
        <v>0</v>
      </c>
      <c r="R20" s="16">
        <v>0</v>
      </c>
      <c r="S20" s="16">
        <f>SUM(S15:S19)</f>
        <v>3346490</v>
      </c>
      <c r="T20" s="16">
        <f>SUM(T15:T19)</f>
        <v>3346490</v>
      </c>
    </row>
    <row r="21" spans="1:20" ht="21.75" customHeight="1">
      <c r="A21" s="127" t="s">
        <v>33</v>
      </c>
      <c r="B21" s="129" t="s">
        <v>45</v>
      </c>
      <c r="C21" s="12" t="s">
        <v>33</v>
      </c>
      <c r="D21" s="131" t="s">
        <v>46</v>
      </c>
      <c r="E21" s="132"/>
      <c r="F21" s="13" t="s">
        <v>47</v>
      </c>
      <c r="G21" s="129" t="s">
        <v>36</v>
      </c>
      <c r="H21" s="125"/>
      <c r="I21" s="125"/>
      <c r="J21" s="125"/>
      <c r="K21" s="126"/>
      <c r="L21" s="14">
        <f>57960+57960+57960</f>
        <v>173880</v>
      </c>
      <c r="M21" s="14">
        <v>0</v>
      </c>
      <c r="N21" s="15"/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57960</v>
      </c>
    </row>
    <row r="22" spans="1:20" ht="37.5">
      <c r="A22" s="128"/>
      <c r="B22" s="133"/>
      <c r="C22" s="12" t="s">
        <v>33</v>
      </c>
      <c r="D22" s="131" t="s">
        <v>48</v>
      </c>
      <c r="E22" s="132"/>
      <c r="F22" s="13" t="s">
        <v>49</v>
      </c>
      <c r="G22" s="129" t="s">
        <v>36</v>
      </c>
      <c r="H22" s="125"/>
      <c r="I22" s="125"/>
      <c r="J22" s="125"/>
      <c r="K22" s="126"/>
      <c r="L22" s="14">
        <f>10000+10000+10000</f>
        <v>30000</v>
      </c>
      <c r="M22" s="14">
        <v>0</v>
      </c>
      <c r="N22" s="15"/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10000</v>
      </c>
    </row>
    <row r="23" spans="1:20" ht="37.5">
      <c r="A23" s="128"/>
      <c r="B23" s="133"/>
      <c r="C23" s="12" t="s">
        <v>33</v>
      </c>
      <c r="D23" s="131" t="s">
        <v>50</v>
      </c>
      <c r="E23" s="132"/>
      <c r="F23" s="13" t="s">
        <v>51</v>
      </c>
      <c r="G23" s="129" t="s">
        <v>36</v>
      </c>
      <c r="H23" s="125"/>
      <c r="I23" s="125"/>
      <c r="J23" s="125"/>
      <c r="K23" s="126"/>
      <c r="L23" s="14">
        <v>30000</v>
      </c>
      <c r="M23" s="14">
        <v>0</v>
      </c>
      <c r="N23" s="15"/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10000</v>
      </c>
    </row>
    <row r="24" spans="1:20" ht="37.5">
      <c r="A24" s="128"/>
      <c r="B24" s="133"/>
      <c r="C24" s="12" t="s">
        <v>33</v>
      </c>
      <c r="D24" s="131" t="s">
        <v>52</v>
      </c>
      <c r="E24" s="132"/>
      <c r="F24" s="13" t="s">
        <v>53</v>
      </c>
      <c r="G24" s="129" t="s">
        <v>36</v>
      </c>
      <c r="H24" s="125"/>
      <c r="I24" s="125"/>
      <c r="J24" s="125"/>
      <c r="K24" s="126"/>
      <c r="L24" s="14">
        <f>16560+16560+16560</f>
        <v>49680</v>
      </c>
      <c r="M24" s="14">
        <v>0</v>
      </c>
      <c r="N24" s="15"/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16560</v>
      </c>
    </row>
    <row r="25" spans="1:20" ht="37.5">
      <c r="A25" s="128"/>
      <c r="B25" s="133"/>
      <c r="C25" s="12" t="s">
        <v>33</v>
      </c>
      <c r="D25" s="131" t="s">
        <v>54</v>
      </c>
      <c r="E25" s="132"/>
      <c r="F25" s="13" t="s">
        <v>55</v>
      </c>
      <c r="G25" s="129" t="s">
        <v>36</v>
      </c>
      <c r="H25" s="125"/>
      <c r="I25" s="125"/>
      <c r="J25" s="125"/>
      <c r="K25" s="126"/>
      <c r="L25" s="14">
        <f>124200+124200+124200</f>
        <v>372600</v>
      </c>
      <c r="M25" s="14">
        <v>0</v>
      </c>
      <c r="N25" s="15"/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124200</v>
      </c>
    </row>
    <row r="26" spans="1:20">
      <c r="A26" s="128"/>
      <c r="B26" s="130"/>
      <c r="C26" s="124" t="s">
        <v>8</v>
      </c>
      <c r="D26" s="125"/>
      <c r="E26" s="125"/>
      <c r="F26" s="125"/>
      <c r="G26" s="125"/>
      <c r="H26" s="125"/>
      <c r="I26" s="125"/>
      <c r="J26" s="125"/>
      <c r="K26" s="126"/>
      <c r="L26" s="16">
        <f>SUM(L21:L25)</f>
        <v>656160</v>
      </c>
      <c r="M26" s="16">
        <f>SUM(M21:M25)</f>
        <v>0</v>
      </c>
      <c r="N26" s="16">
        <f t="shared" ref="N26" si="1">SUM(N21:N25)</f>
        <v>0</v>
      </c>
      <c r="O26" s="16">
        <f>SUM(O21:O25)</f>
        <v>0</v>
      </c>
      <c r="P26" s="16">
        <f ca="1">SUM(P21:P26)</f>
        <v>0</v>
      </c>
      <c r="Q26" s="16">
        <f>SUM(Q21:Q25)</f>
        <v>0</v>
      </c>
      <c r="R26" s="16">
        <f>SUM(R21:R25)</f>
        <v>0</v>
      </c>
      <c r="S26" s="16">
        <f>SUM(S21:S25)</f>
        <v>0</v>
      </c>
      <c r="T26" s="16">
        <f>SUM(T21:T25)</f>
        <v>218720</v>
      </c>
    </row>
    <row r="27" spans="1:20" ht="21" customHeight="1">
      <c r="A27" s="127" t="s">
        <v>33</v>
      </c>
      <c r="B27" s="129" t="s">
        <v>56</v>
      </c>
      <c r="C27" s="12" t="s">
        <v>33</v>
      </c>
      <c r="D27" s="131" t="s">
        <v>57</v>
      </c>
      <c r="E27" s="132"/>
      <c r="F27" s="13" t="s">
        <v>58</v>
      </c>
      <c r="G27" s="129" t="s">
        <v>36</v>
      </c>
      <c r="H27" s="125"/>
      <c r="I27" s="125"/>
      <c r="J27" s="125"/>
      <c r="K27" s="126"/>
      <c r="L27" s="14">
        <f>196630+239380+196630</f>
        <v>632640</v>
      </c>
      <c r="M27" s="14">
        <f>69190*3</f>
        <v>207570</v>
      </c>
      <c r="N27" s="18">
        <f>23080*3</f>
        <v>69240</v>
      </c>
      <c r="O27" s="14">
        <f>60160*3</f>
        <v>180480</v>
      </c>
      <c r="P27" s="18">
        <f>42410*3</f>
        <v>127230</v>
      </c>
      <c r="Q27" s="14">
        <v>0</v>
      </c>
      <c r="R27" s="14">
        <v>0</v>
      </c>
      <c r="S27" s="14">
        <v>0</v>
      </c>
      <c r="T27" s="14">
        <v>391470</v>
      </c>
    </row>
    <row r="28" spans="1:20" ht="37.5" customHeight="1">
      <c r="A28" s="128"/>
      <c r="B28" s="133"/>
      <c r="C28" s="12" t="s">
        <v>33</v>
      </c>
      <c r="D28" s="131" t="s">
        <v>59</v>
      </c>
      <c r="E28" s="132"/>
      <c r="F28" s="13" t="s">
        <v>60</v>
      </c>
      <c r="G28" s="129" t="s">
        <v>36</v>
      </c>
      <c r="H28" s="125"/>
      <c r="I28" s="125"/>
      <c r="J28" s="125"/>
      <c r="K28" s="126"/>
      <c r="L28" s="14">
        <f>815+815+815</f>
        <v>2445</v>
      </c>
      <c r="M28" s="14">
        <v>0</v>
      </c>
      <c r="N28" s="15"/>
      <c r="O28" s="14">
        <v>0</v>
      </c>
      <c r="P28" s="18">
        <f>555*3</f>
        <v>1665</v>
      </c>
      <c r="Q28" s="14">
        <v>0</v>
      </c>
      <c r="R28" s="14">
        <v>0</v>
      </c>
      <c r="S28" s="14">
        <v>0</v>
      </c>
      <c r="T28" s="14">
        <v>1370</v>
      </c>
    </row>
    <row r="29" spans="1:20" ht="21" customHeight="1">
      <c r="A29" s="128"/>
      <c r="B29" s="133"/>
      <c r="C29" s="12" t="s">
        <v>33</v>
      </c>
      <c r="D29" s="131" t="s">
        <v>61</v>
      </c>
      <c r="E29" s="132"/>
      <c r="F29" s="13" t="s">
        <v>62</v>
      </c>
      <c r="G29" s="129" t="s">
        <v>36</v>
      </c>
      <c r="H29" s="125"/>
      <c r="I29" s="125"/>
      <c r="J29" s="125"/>
      <c r="K29" s="126"/>
      <c r="L29" s="14">
        <f>15500*3</f>
        <v>46500</v>
      </c>
      <c r="M29" s="14">
        <f>1500*3</f>
        <v>4500</v>
      </c>
      <c r="N29" s="15"/>
      <c r="O29" s="14">
        <v>0</v>
      </c>
      <c r="P29" s="18">
        <f>3500*3</f>
        <v>10500</v>
      </c>
      <c r="Q29" s="14">
        <v>0</v>
      </c>
      <c r="R29" s="14">
        <v>0</v>
      </c>
      <c r="S29" s="14">
        <v>0</v>
      </c>
      <c r="T29" s="14">
        <v>20500</v>
      </c>
    </row>
    <row r="30" spans="1:20" ht="21" customHeight="1">
      <c r="A30" s="128"/>
      <c r="B30" s="133"/>
      <c r="C30" s="12" t="s">
        <v>33</v>
      </c>
      <c r="D30" s="131" t="s">
        <v>63</v>
      </c>
      <c r="E30" s="132"/>
      <c r="F30" s="13" t="s">
        <v>64</v>
      </c>
      <c r="G30" s="129" t="s">
        <v>36</v>
      </c>
      <c r="H30" s="125"/>
      <c r="I30" s="125"/>
      <c r="J30" s="125"/>
      <c r="K30" s="126"/>
      <c r="L30" s="14">
        <f>119740+45000+82370</f>
        <v>247110</v>
      </c>
      <c r="M30" s="14">
        <f>80460+9000+39479.68</f>
        <v>128939.68</v>
      </c>
      <c r="N30" s="18">
        <f>9000*3</f>
        <v>27000</v>
      </c>
      <c r="O30" s="14">
        <f>48880+24440</f>
        <v>73320</v>
      </c>
      <c r="P30" s="18">
        <f>70520+9000+39760</f>
        <v>119280</v>
      </c>
      <c r="Q30" s="14">
        <v>0</v>
      </c>
      <c r="R30" s="14">
        <v>0</v>
      </c>
      <c r="S30" s="14">
        <v>0</v>
      </c>
      <c r="T30" s="14">
        <v>328600</v>
      </c>
    </row>
    <row r="31" spans="1:20" ht="37.5" customHeight="1">
      <c r="A31" s="128"/>
      <c r="B31" s="133"/>
      <c r="C31" s="12" t="s">
        <v>33</v>
      </c>
      <c r="D31" s="131" t="s">
        <v>65</v>
      </c>
      <c r="E31" s="132"/>
      <c r="F31" s="13" t="s">
        <v>66</v>
      </c>
      <c r="G31" s="129" t="s">
        <v>36</v>
      </c>
      <c r="H31" s="125"/>
      <c r="I31" s="125"/>
      <c r="J31" s="125"/>
      <c r="K31" s="126"/>
      <c r="L31" s="14">
        <f>9970+5000+7485</f>
        <v>22455</v>
      </c>
      <c r="M31" s="14">
        <f>7040+1000+3699.19</f>
        <v>11739.19</v>
      </c>
      <c r="N31" s="18">
        <f>1000*3</f>
        <v>3000</v>
      </c>
      <c r="O31" s="14">
        <f>4260+2130</f>
        <v>6390</v>
      </c>
      <c r="P31" s="18">
        <f>13000+1000+7000</f>
        <v>21000</v>
      </c>
      <c r="Q31" s="14">
        <v>0</v>
      </c>
      <c r="R31" s="14">
        <v>0</v>
      </c>
      <c r="S31" s="14">
        <v>0</v>
      </c>
      <c r="T31" s="14">
        <v>35270</v>
      </c>
    </row>
    <row r="32" spans="1:20" ht="36" customHeight="1">
      <c r="A32" s="128"/>
      <c r="B32" s="133"/>
      <c r="C32" s="12" t="s">
        <v>33</v>
      </c>
      <c r="D32" s="131" t="s">
        <v>67</v>
      </c>
      <c r="E32" s="132"/>
      <c r="F32" s="13" t="s">
        <v>68</v>
      </c>
      <c r="G32" s="129" t="s">
        <v>69</v>
      </c>
      <c r="H32" s="125"/>
      <c r="I32" s="125"/>
      <c r="J32" s="125"/>
      <c r="K32" s="126"/>
      <c r="L32" s="14">
        <v>0</v>
      </c>
      <c r="M32" s="14">
        <v>0</v>
      </c>
      <c r="N32" s="18">
        <v>16644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16644</v>
      </c>
    </row>
    <row r="33" spans="1:20" ht="19.5" customHeight="1">
      <c r="A33" s="128"/>
      <c r="B33" s="130"/>
      <c r="C33" s="124" t="s">
        <v>8</v>
      </c>
      <c r="D33" s="125"/>
      <c r="E33" s="125"/>
      <c r="F33" s="125"/>
      <c r="G33" s="125"/>
      <c r="H33" s="125"/>
      <c r="I33" s="125"/>
      <c r="J33" s="125"/>
      <c r="K33" s="126"/>
      <c r="L33" s="16">
        <f>SUM(L27:L32)</f>
        <v>951150</v>
      </c>
      <c r="M33" s="16">
        <f>SUM(M27:M32)</f>
        <v>352748.87</v>
      </c>
      <c r="N33" s="19">
        <f>SUM(N27:N32)</f>
        <v>115884</v>
      </c>
      <c r="O33" s="16">
        <f>SUM(O27:O32)</f>
        <v>260190</v>
      </c>
      <c r="P33" s="19">
        <f>SUM(P27:P32)</f>
        <v>279675</v>
      </c>
      <c r="Q33" s="16">
        <v>0</v>
      </c>
      <c r="R33" s="16">
        <v>0</v>
      </c>
      <c r="S33" s="16">
        <v>0</v>
      </c>
      <c r="T33" s="16">
        <f>SUM(T27:T32)</f>
        <v>793854</v>
      </c>
    </row>
    <row r="34" spans="1:20" ht="24" customHeight="1">
      <c r="A34" s="127" t="s">
        <v>33</v>
      </c>
      <c r="B34" s="129" t="s">
        <v>70</v>
      </c>
      <c r="C34" s="12" t="s">
        <v>33</v>
      </c>
      <c r="D34" s="131" t="s">
        <v>71</v>
      </c>
      <c r="E34" s="132"/>
      <c r="F34" s="13" t="s">
        <v>72</v>
      </c>
      <c r="G34" s="129" t="s">
        <v>36</v>
      </c>
      <c r="H34" s="125"/>
      <c r="I34" s="125"/>
      <c r="J34" s="125"/>
      <c r="K34" s="126"/>
      <c r="L34" s="14">
        <f>26933+20800</f>
        <v>47733</v>
      </c>
      <c r="M34" s="14">
        <f>9000+9000</f>
        <v>18000</v>
      </c>
      <c r="N34" s="18">
        <f>3000+3000</f>
        <v>6000</v>
      </c>
      <c r="O34" s="14">
        <v>0</v>
      </c>
      <c r="P34" s="18">
        <f>1500+1500</f>
        <v>3000</v>
      </c>
      <c r="Q34" s="14">
        <v>0</v>
      </c>
      <c r="R34" s="14">
        <v>0</v>
      </c>
      <c r="S34" s="14">
        <v>0</v>
      </c>
      <c r="T34" s="14">
        <v>40433</v>
      </c>
    </row>
    <row r="35" spans="1:20" ht="37.5">
      <c r="A35" s="128"/>
      <c r="B35" s="133"/>
      <c r="C35" s="12" t="s">
        <v>33</v>
      </c>
      <c r="D35" s="131" t="s">
        <v>73</v>
      </c>
      <c r="E35" s="132"/>
      <c r="F35" s="13" t="s">
        <v>74</v>
      </c>
      <c r="G35" s="129" t="s">
        <v>36</v>
      </c>
      <c r="H35" s="125"/>
      <c r="I35" s="125"/>
      <c r="J35" s="125"/>
      <c r="K35" s="126"/>
      <c r="L35" s="14">
        <v>6410</v>
      </c>
      <c r="M35" s="14">
        <v>0</v>
      </c>
      <c r="N35" s="15"/>
      <c r="O35" s="14">
        <v>0</v>
      </c>
      <c r="P35" s="18">
        <v>0</v>
      </c>
      <c r="Q35" s="14">
        <v>0</v>
      </c>
      <c r="R35" s="14">
        <v>0</v>
      </c>
      <c r="S35" s="14">
        <v>0</v>
      </c>
      <c r="T35" s="14">
        <v>6410</v>
      </c>
    </row>
    <row r="36" spans="1:20" ht="19.5" customHeight="1">
      <c r="A36" s="128"/>
      <c r="B36" s="130"/>
      <c r="C36" s="124" t="s">
        <v>8</v>
      </c>
      <c r="D36" s="125"/>
      <c r="E36" s="125"/>
      <c r="F36" s="125"/>
      <c r="G36" s="125"/>
      <c r="H36" s="125"/>
      <c r="I36" s="125"/>
      <c r="J36" s="125"/>
      <c r="K36" s="126"/>
      <c r="L36" s="16">
        <f>SUM(L34:L35)</f>
        <v>54143</v>
      </c>
      <c r="M36" s="16">
        <f>SUM(M34:M35)</f>
        <v>18000</v>
      </c>
      <c r="N36" s="19">
        <f>SUM(N34:N35)</f>
        <v>6000</v>
      </c>
      <c r="O36" s="16">
        <f>SUM(O34:O35)</f>
        <v>0</v>
      </c>
      <c r="P36" s="16">
        <f t="shared" ref="P36" si="2">SUM(P34:P35)</f>
        <v>3000</v>
      </c>
      <c r="Q36" s="16">
        <v>0</v>
      </c>
      <c r="R36" s="16">
        <v>0</v>
      </c>
      <c r="S36" s="16">
        <v>0</v>
      </c>
      <c r="T36" s="16">
        <f>SUM(T34:T35)</f>
        <v>46843</v>
      </c>
    </row>
    <row r="37" spans="1:20" ht="37.5">
      <c r="A37" s="127" t="s">
        <v>33</v>
      </c>
      <c r="B37" s="129" t="s">
        <v>75</v>
      </c>
      <c r="C37" s="12" t="s">
        <v>33</v>
      </c>
      <c r="D37" s="131" t="s">
        <v>76</v>
      </c>
      <c r="E37" s="132"/>
      <c r="F37" s="13" t="s">
        <v>77</v>
      </c>
      <c r="G37" s="129" t="s">
        <v>36</v>
      </c>
      <c r="H37" s="125"/>
      <c r="I37" s="125"/>
      <c r="J37" s="125"/>
      <c r="K37" s="126"/>
      <c r="L37" s="14">
        <f>34520+36700</f>
        <v>71220</v>
      </c>
      <c r="M37" s="14">
        <f>2500+9100</f>
        <v>11600</v>
      </c>
      <c r="N37" s="15"/>
      <c r="O37" s="14">
        <f>20300+21500</f>
        <v>41800</v>
      </c>
      <c r="P37" s="18">
        <v>0</v>
      </c>
      <c r="Q37" s="14">
        <v>0</v>
      </c>
      <c r="R37" s="14">
        <v>0</v>
      </c>
      <c r="S37" s="14">
        <v>0</v>
      </c>
      <c r="T37" s="14">
        <v>57320</v>
      </c>
    </row>
    <row r="38" spans="1:20" ht="37.5">
      <c r="A38" s="128"/>
      <c r="B38" s="133"/>
      <c r="C38" s="12" t="s">
        <v>33</v>
      </c>
      <c r="D38" s="131" t="s">
        <v>78</v>
      </c>
      <c r="E38" s="132"/>
      <c r="F38" s="13" t="s">
        <v>79</v>
      </c>
      <c r="G38" s="129" t="s">
        <v>36</v>
      </c>
      <c r="H38" s="125"/>
      <c r="I38" s="125"/>
      <c r="J38" s="125"/>
      <c r="K38" s="126"/>
      <c r="L38" s="14">
        <f>164643+28786+60646</f>
        <v>254075</v>
      </c>
      <c r="M38" s="14">
        <v>8944</v>
      </c>
      <c r="N38" s="15"/>
      <c r="O38" s="14">
        <v>111600</v>
      </c>
      <c r="P38" s="18">
        <v>11477</v>
      </c>
      <c r="Q38" s="14">
        <f>2000+500</f>
        <v>2500</v>
      </c>
      <c r="R38" s="14">
        <v>3000</v>
      </c>
      <c r="S38" s="14">
        <v>0</v>
      </c>
      <c r="T38" s="14">
        <v>169643</v>
      </c>
    </row>
    <row r="39" spans="1:20" ht="21" customHeight="1">
      <c r="A39" s="128"/>
      <c r="B39" s="130"/>
      <c r="C39" s="124" t="s">
        <v>8</v>
      </c>
      <c r="D39" s="125"/>
      <c r="E39" s="125"/>
      <c r="F39" s="125"/>
      <c r="G39" s="125"/>
      <c r="H39" s="125"/>
      <c r="I39" s="125"/>
      <c r="J39" s="125"/>
      <c r="K39" s="126"/>
      <c r="L39" s="16">
        <f>SUM(L37:L38)</f>
        <v>325295</v>
      </c>
      <c r="M39" s="16">
        <f>SUM(M37:M38)</f>
        <v>20544</v>
      </c>
      <c r="N39" s="17"/>
      <c r="O39" s="16">
        <f>SUM(O37:O38)</f>
        <v>153400</v>
      </c>
      <c r="P39" s="19">
        <f>SUM(P37:P38)</f>
        <v>11477</v>
      </c>
      <c r="Q39" s="16">
        <f>SUM(Q37:Q38)</f>
        <v>2500</v>
      </c>
      <c r="R39" s="16">
        <f>SUM(R37:R38)</f>
        <v>3000</v>
      </c>
      <c r="S39" s="16">
        <v>0</v>
      </c>
      <c r="T39" s="16">
        <f>SUM(T37:T38)</f>
        <v>226963</v>
      </c>
    </row>
    <row r="40" spans="1:20" ht="24" customHeight="1">
      <c r="A40" s="127" t="s">
        <v>33</v>
      </c>
      <c r="B40" s="129" t="s">
        <v>80</v>
      </c>
      <c r="C40" s="12" t="s">
        <v>33</v>
      </c>
      <c r="D40" s="131" t="s">
        <v>81</v>
      </c>
      <c r="E40" s="132"/>
      <c r="F40" s="13" t="s">
        <v>82</v>
      </c>
      <c r="G40" s="129" t="s">
        <v>36</v>
      </c>
      <c r="H40" s="125"/>
      <c r="I40" s="125"/>
      <c r="J40" s="125"/>
      <c r="K40" s="126"/>
      <c r="L40" s="14">
        <f>11974+9620+38425</f>
        <v>60019</v>
      </c>
      <c r="M40" s="14">
        <v>18749</v>
      </c>
      <c r="N40" s="15"/>
      <c r="O40" s="14">
        <v>0</v>
      </c>
      <c r="P40" s="18">
        <v>6628</v>
      </c>
      <c r="Q40" s="14">
        <v>0</v>
      </c>
      <c r="R40" s="14">
        <v>0</v>
      </c>
      <c r="S40" s="14">
        <v>0</v>
      </c>
      <c r="T40" s="14">
        <v>11974</v>
      </c>
    </row>
    <row r="41" spans="1:20">
      <c r="A41" s="134"/>
      <c r="B41" s="135"/>
      <c r="C41" s="12"/>
      <c r="D41" s="131" t="s">
        <v>98</v>
      </c>
      <c r="E41" s="132"/>
      <c r="F41" s="20"/>
      <c r="G41" s="21"/>
      <c r="H41" s="22"/>
      <c r="I41" s="22"/>
      <c r="J41" s="22"/>
      <c r="K41" s="23"/>
      <c r="L41" s="14">
        <v>220</v>
      </c>
      <c r="M41" s="14"/>
      <c r="N41" s="23"/>
      <c r="O41" s="14"/>
      <c r="P41" s="14"/>
      <c r="Q41" s="14"/>
      <c r="R41" s="14"/>
      <c r="S41" s="14"/>
      <c r="T41" s="14"/>
    </row>
    <row r="42" spans="1:20">
      <c r="A42" s="134"/>
      <c r="B42" s="135"/>
      <c r="C42" s="12"/>
      <c r="D42" s="138" t="s">
        <v>100</v>
      </c>
      <c r="E42" s="139"/>
      <c r="F42" s="20"/>
      <c r="G42" s="21"/>
      <c r="H42" s="22"/>
      <c r="I42" s="22"/>
      <c r="J42" s="22"/>
      <c r="K42" s="23"/>
      <c r="L42" s="14"/>
      <c r="M42" s="14"/>
      <c r="N42" s="23"/>
      <c r="O42" s="14">
        <v>144229.35999999999</v>
      </c>
      <c r="P42" s="14"/>
      <c r="Q42" s="14"/>
      <c r="R42" s="14"/>
      <c r="S42" s="14"/>
      <c r="T42" s="14"/>
    </row>
    <row r="43" spans="1:20" ht="21" customHeight="1">
      <c r="A43" s="128"/>
      <c r="B43" s="133"/>
      <c r="C43" s="12" t="s">
        <v>33</v>
      </c>
      <c r="D43" s="131" t="s">
        <v>83</v>
      </c>
      <c r="E43" s="132"/>
      <c r="F43" s="13" t="s">
        <v>84</v>
      </c>
      <c r="G43" s="129" t="s">
        <v>36</v>
      </c>
      <c r="H43" s="125"/>
      <c r="I43" s="125"/>
      <c r="J43" s="125"/>
      <c r="K43" s="126"/>
      <c r="L43" s="14">
        <f>13030+20840</f>
        <v>33870</v>
      </c>
      <c r="M43" s="14">
        <v>0</v>
      </c>
      <c r="N43" s="15"/>
      <c r="O43" s="14">
        <v>0</v>
      </c>
      <c r="P43" s="18">
        <v>0</v>
      </c>
      <c r="Q43" s="14">
        <v>0</v>
      </c>
      <c r="R43" s="14">
        <v>0</v>
      </c>
      <c r="S43" s="14">
        <v>0</v>
      </c>
      <c r="T43" s="14">
        <v>13030</v>
      </c>
    </row>
    <row r="44" spans="1:20">
      <c r="A44" s="128"/>
      <c r="B44" s="133"/>
      <c r="C44" s="136" t="s">
        <v>99</v>
      </c>
      <c r="D44" s="137"/>
      <c r="E44" s="137"/>
      <c r="F44" s="24"/>
      <c r="G44" s="25"/>
      <c r="H44" s="22"/>
      <c r="I44" s="22"/>
      <c r="J44" s="22"/>
      <c r="K44" s="23"/>
      <c r="L44" s="14">
        <v>16770</v>
      </c>
      <c r="M44" s="14">
        <v>10120</v>
      </c>
      <c r="N44" s="23"/>
      <c r="O44" s="14"/>
      <c r="P44" s="14"/>
      <c r="Q44" s="14"/>
      <c r="R44" s="14"/>
      <c r="S44" s="14"/>
      <c r="T44" s="14"/>
    </row>
    <row r="45" spans="1:20">
      <c r="A45" s="128"/>
      <c r="B45" s="130"/>
      <c r="C45" s="124"/>
      <c r="D45" s="125"/>
      <c r="E45" s="125"/>
      <c r="F45" s="125"/>
      <c r="G45" s="125"/>
      <c r="H45" s="125"/>
      <c r="I45" s="125"/>
      <c r="J45" s="125"/>
      <c r="K45" s="126"/>
      <c r="L45" s="16">
        <f>SUM(L40:L44)</f>
        <v>110879</v>
      </c>
      <c r="M45" s="16">
        <f>SUM(M40:M44)</f>
        <v>28869</v>
      </c>
      <c r="N45" s="17"/>
      <c r="O45" s="16">
        <f>SUM(O42:O44)</f>
        <v>144229.35999999999</v>
      </c>
      <c r="P45" s="16">
        <v>0</v>
      </c>
      <c r="Q45" s="16">
        <v>0</v>
      </c>
      <c r="R45" s="16">
        <v>0</v>
      </c>
      <c r="S45" s="16">
        <v>0</v>
      </c>
      <c r="T45" s="16">
        <f>SUM(T42:T44)</f>
        <v>13030</v>
      </c>
    </row>
    <row r="46" spans="1:20" ht="27" customHeight="1">
      <c r="A46" s="127" t="s">
        <v>33</v>
      </c>
      <c r="B46" s="129" t="s">
        <v>85</v>
      </c>
      <c r="C46" s="12" t="s">
        <v>33</v>
      </c>
      <c r="D46" s="131" t="s">
        <v>86</v>
      </c>
      <c r="E46" s="132"/>
      <c r="F46" s="13" t="s">
        <v>87</v>
      </c>
      <c r="G46" s="129" t="s">
        <v>36</v>
      </c>
      <c r="H46" s="125"/>
      <c r="I46" s="125"/>
      <c r="J46" s="125"/>
      <c r="K46" s="126"/>
      <c r="L46" s="14">
        <f>18288.66+20544.99+14125.57</f>
        <v>52959.22</v>
      </c>
      <c r="M46" s="14">
        <v>0</v>
      </c>
      <c r="N46" s="15"/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18288.66</v>
      </c>
    </row>
    <row r="47" spans="1:20" ht="27" customHeight="1">
      <c r="A47" s="128"/>
      <c r="B47" s="133"/>
      <c r="C47" s="12" t="s">
        <v>33</v>
      </c>
      <c r="D47" s="131" t="s">
        <v>88</v>
      </c>
      <c r="E47" s="132"/>
      <c r="F47" s="13" t="s">
        <v>89</v>
      </c>
      <c r="G47" s="129" t="s">
        <v>36</v>
      </c>
      <c r="H47" s="125"/>
      <c r="I47" s="125"/>
      <c r="J47" s="125"/>
      <c r="K47" s="126"/>
      <c r="L47" s="14">
        <f>5273.3+1975.51+7061.17</f>
        <v>14309.98</v>
      </c>
      <c r="M47" s="14">
        <v>0</v>
      </c>
      <c r="N47" s="15"/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5273.3</v>
      </c>
    </row>
    <row r="48" spans="1:20" ht="27" customHeight="1">
      <c r="A48" s="128"/>
      <c r="B48" s="133"/>
      <c r="C48" s="12" t="s">
        <v>33</v>
      </c>
      <c r="D48" s="131" t="s">
        <v>90</v>
      </c>
      <c r="E48" s="132"/>
      <c r="F48" s="13" t="s">
        <v>91</v>
      </c>
      <c r="G48" s="129" t="s">
        <v>36</v>
      </c>
      <c r="H48" s="125"/>
      <c r="I48" s="125"/>
      <c r="J48" s="125"/>
      <c r="K48" s="126"/>
      <c r="L48" s="14">
        <f>1691+732+245</f>
        <v>2668</v>
      </c>
      <c r="M48" s="14">
        <v>0</v>
      </c>
      <c r="N48" s="15"/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1691</v>
      </c>
    </row>
    <row r="49" spans="1:20" ht="36" customHeight="1">
      <c r="A49" s="128"/>
      <c r="B49" s="133"/>
      <c r="C49" s="12" t="s">
        <v>33</v>
      </c>
      <c r="D49" s="131" t="s">
        <v>92</v>
      </c>
      <c r="E49" s="132"/>
      <c r="F49" s="13" t="s">
        <v>93</v>
      </c>
      <c r="G49" s="129" t="s">
        <v>36</v>
      </c>
      <c r="H49" s="125"/>
      <c r="I49" s="125"/>
      <c r="J49" s="125"/>
      <c r="K49" s="126"/>
      <c r="L49" s="14">
        <v>0</v>
      </c>
      <c r="M49" s="14">
        <f>3745+3745+3745</f>
        <v>11235</v>
      </c>
      <c r="N49" s="15"/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3745</v>
      </c>
    </row>
    <row r="50" spans="1:20">
      <c r="A50" s="128"/>
      <c r="B50" s="130"/>
      <c r="C50" s="124" t="s">
        <v>8</v>
      </c>
      <c r="D50" s="125"/>
      <c r="E50" s="125"/>
      <c r="F50" s="125"/>
      <c r="G50" s="125"/>
      <c r="H50" s="125"/>
      <c r="I50" s="125"/>
      <c r="J50" s="125"/>
      <c r="K50" s="126"/>
      <c r="L50" s="16">
        <f>SUM(L46:L49)</f>
        <v>69937.2</v>
      </c>
      <c r="M50" s="16">
        <v>3745</v>
      </c>
      <c r="N50" s="17"/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28997.96</v>
      </c>
    </row>
    <row r="51" spans="1:20" ht="24.75" customHeight="1">
      <c r="A51" s="127" t="s">
        <v>33</v>
      </c>
      <c r="B51" s="129" t="s">
        <v>94</v>
      </c>
      <c r="C51" s="12" t="s">
        <v>33</v>
      </c>
      <c r="D51" s="131" t="s">
        <v>95</v>
      </c>
      <c r="E51" s="132"/>
      <c r="F51" s="13" t="s">
        <v>96</v>
      </c>
      <c r="G51" s="129" t="s">
        <v>36</v>
      </c>
      <c r="H51" s="125"/>
      <c r="I51" s="125"/>
      <c r="J51" s="125"/>
      <c r="K51" s="126"/>
      <c r="L51" s="14">
        <v>0</v>
      </c>
      <c r="M51" s="14">
        <v>0</v>
      </c>
      <c r="N51" s="15"/>
      <c r="O51" s="14">
        <v>844000</v>
      </c>
      <c r="P51" s="14">
        <v>0</v>
      </c>
      <c r="Q51" s="14">
        <v>0</v>
      </c>
      <c r="R51" s="14">
        <v>0</v>
      </c>
      <c r="S51" s="14">
        <v>0</v>
      </c>
      <c r="T51" s="14">
        <v>844000</v>
      </c>
    </row>
    <row r="52" spans="1:20">
      <c r="A52" s="128"/>
      <c r="B52" s="130"/>
      <c r="C52" s="124" t="s">
        <v>8</v>
      </c>
      <c r="D52" s="125"/>
      <c r="E52" s="125"/>
      <c r="F52" s="125"/>
      <c r="G52" s="125"/>
      <c r="H52" s="125"/>
      <c r="I52" s="125"/>
      <c r="J52" s="125"/>
      <c r="K52" s="126"/>
      <c r="L52" s="16">
        <v>0</v>
      </c>
      <c r="M52" s="16">
        <v>0</v>
      </c>
      <c r="N52" s="17"/>
      <c r="O52" s="16">
        <v>844000</v>
      </c>
      <c r="P52" s="16">
        <v>0</v>
      </c>
      <c r="Q52" s="16">
        <v>0</v>
      </c>
      <c r="R52" s="16">
        <v>0</v>
      </c>
      <c r="S52" s="16">
        <v>0</v>
      </c>
      <c r="T52" s="16">
        <v>844000</v>
      </c>
    </row>
    <row r="53" spans="1:20" ht="25.5" customHeight="1">
      <c r="A53" s="26" t="s">
        <v>33</v>
      </c>
      <c r="B53" s="124" t="s">
        <v>97</v>
      </c>
      <c r="C53" s="125"/>
      <c r="D53" s="125"/>
      <c r="E53" s="125"/>
      <c r="F53" s="125"/>
      <c r="G53" s="125"/>
      <c r="H53" s="125"/>
      <c r="I53" s="125"/>
      <c r="J53" s="125"/>
      <c r="K53" s="126"/>
      <c r="L53" s="16">
        <f t="shared" ref="L53:T53" si="3">+L20+L26+L33+L36+L39+L45+L50+L52</f>
        <v>2167564.2000000002</v>
      </c>
      <c r="M53" s="16">
        <f t="shared" si="3"/>
        <v>423906.87</v>
      </c>
      <c r="N53" s="16">
        <f t="shared" si="3"/>
        <v>121884</v>
      </c>
      <c r="O53" s="16">
        <f t="shared" si="3"/>
        <v>1401819.3599999999</v>
      </c>
      <c r="P53" s="16">
        <f t="shared" ca="1" si="3"/>
        <v>1401819.3599999999</v>
      </c>
      <c r="Q53" s="16">
        <f t="shared" si="3"/>
        <v>2500</v>
      </c>
      <c r="R53" s="16">
        <f t="shared" si="3"/>
        <v>3000</v>
      </c>
      <c r="S53" s="16">
        <f t="shared" si="3"/>
        <v>3346490</v>
      </c>
      <c r="T53" s="16">
        <f t="shared" si="3"/>
        <v>5518897.96</v>
      </c>
    </row>
    <row r="54" spans="1:20" ht="0" hidden="1" customHeight="1"/>
  </sheetData>
  <mergeCells count="113">
    <mergeCell ref="A1:H1"/>
    <mergeCell ref="L7:M7"/>
    <mergeCell ref="N7:O7"/>
    <mergeCell ref="T7:T14"/>
    <mergeCell ref="L8:M9"/>
    <mergeCell ref="P8:P9"/>
    <mergeCell ref="Q8:Q9"/>
    <mergeCell ref="R8:R9"/>
    <mergeCell ref="S8:S9"/>
    <mergeCell ref="P10:P12"/>
    <mergeCell ref="Q10:Q12"/>
    <mergeCell ref="R10:R12"/>
    <mergeCell ref="S10:S12"/>
    <mergeCell ref="P13:P14"/>
    <mergeCell ref="Q13:Q14"/>
    <mergeCell ref="R13:R14"/>
    <mergeCell ref="S13:S14"/>
    <mergeCell ref="L13:L14"/>
    <mergeCell ref="M13:M14"/>
    <mergeCell ref="N13:N14"/>
    <mergeCell ref="O13:O14"/>
    <mergeCell ref="H9:J10"/>
    <mergeCell ref="L10:L12"/>
    <mergeCell ref="M10:M12"/>
    <mergeCell ref="O10:O12"/>
    <mergeCell ref="N10:N12"/>
    <mergeCell ref="N9:O9"/>
    <mergeCell ref="D16:E16"/>
    <mergeCell ref="G16:K16"/>
    <mergeCell ref="A15:A20"/>
    <mergeCell ref="B15:B19"/>
    <mergeCell ref="D15:E15"/>
    <mergeCell ref="G15:K15"/>
    <mergeCell ref="D17:E17"/>
    <mergeCell ref="G17:K17"/>
    <mergeCell ref="D19:E19"/>
    <mergeCell ref="G19:K19"/>
    <mergeCell ref="B20:K20"/>
    <mergeCell ref="D18:E18"/>
    <mergeCell ref="D24:E24"/>
    <mergeCell ref="G24:K24"/>
    <mergeCell ref="D28:E28"/>
    <mergeCell ref="G28:K28"/>
    <mergeCell ref="G18:K18"/>
    <mergeCell ref="D22:E22"/>
    <mergeCell ref="G22:K22"/>
    <mergeCell ref="A21:A26"/>
    <mergeCell ref="B21:B26"/>
    <mergeCell ref="D21:E21"/>
    <mergeCell ref="G21:K21"/>
    <mergeCell ref="D23:E23"/>
    <mergeCell ref="G23:K23"/>
    <mergeCell ref="D25:E25"/>
    <mergeCell ref="G25:K25"/>
    <mergeCell ref="C26:K26"/>
    <mergeCell ref="D30:E30"/>
    <mergeCell ref="G30:K30"/>
    <mergeCell ref="A27:A33"/>
    <mergeCell ref="B27:B33"/>
    <mergeCell ref="D27:E27"/>
    <mergeCell ref="G27:K27"/>
    <mergeCell ref="D29:E29"/>
    <mergeCell ref="G29:K29"/>
    <mergeCell ref="D31:E31"/>
    <mergeCell ref="G31:K31"/>
    <mergeCell ref="C33:K33"/>
    <mergeCell ref="A34:A36"/>
    <mergeCell ref="B34:B36"/>
    <mergeCell ref="D34:E34"/>
    <mergeCell ref="G34:K34"/>
    <mergeCell ref="D35:E35"/>
    <mergeCell ref="G35:K35"/>
    <mergeCell ref="C36:K36"/>
    <mergeCell ref="D32:E32"/>
    <mergeCell ref="G32:K32"/>
    <mergeCell ref="G40:K40"/>
    <mergeCell ref="D43:E43"/>
    <mergeCell ref="G43:K43"/>
    <mergeCell ref="C45:K45"/>
    <mergeCell ref="C44:E44"/>
    <mergeCell ref="D41:E41"/>
    <mergeCell ref="D42:E42"/>
    <mergeCell ref="A37:A39"/>
    <mergeCell ref="B37:B39"/>
    <mergeCell ref="D37:E37"/>
    <mergeCell ref="G37:K37"/>
    <mergeCell ref="D38:E38"/>
    <mergeCell ref="G38:K38"/>
    <mergeCell ref="C39:K39"/>
    <mergeCell ref="A3:T3"/>
    <mergeCell ref="A4:T4"/>
    <mergeCell ref="A5:T5"/>
    <mergeCell ref="A11:E13"/>
    <mergeCell ref="B53:K53"/>
    <mergeCell ref="C52:K52"/>
    <mergeCell ref="A51:A52"/>
    <mergeCell ref="B51:B52"/>
    <mergeCell ref="D51:E51"/>
    <mergeCell ref="G51:K51"/>
    <mergeCell ref="C50:K50"/>
    <mergeCell ref="A46:A50"/>
    <mergeCell ref="D49:E49"/>
    <mergeCell ref="G49:K49"/>
    <mergeCell ref="B46:B50"/>
    <mergeCell ref="D46:E46"/>
    <mergeCell ref="G46:K46"/>
    <mergeCell ref="D47:E47"/>
    <mergeCell ref="G47:K47"/>
    <mergeCell ref="D48:E48"/>
    <mergeCell ref="G48:K48"/>
    <mergeCell ref="A40:A45"/>
    <mergeCell ref="B40:B45"/>
    <mergeCell ref="D40:E40"/>
  </mergeCells>
  <pageMargins left="0.15748031496062992" right="0.15748031496062992" top="0.47244094488188981" bottom="0.47244094488188981" header="0.47244094488188981" footer="0.47244094488188981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64"/>
  <sheetViews>
    <sheetView topLeftCell="B6" workbookViewId="0">
      <pane xSplit="10" ySplit="9" topLeftCell="L21" activePane="bottomRight" state="frozen"/>
      <selection activeCell="B6" sqref="B6"/>
      <selection pane="topRight" activeCell="L6" sqref="L6"/>
      <selection pane="bottomLeft" activeCell="B15" sqref="B15"/>
      <selection pane="bottomRight" activeCell="B6" sqref="A1:XFD1048576"/>
    </sheetView>
  </sheetViews>
  <sheetFormatPr defaultRowHeight="15.75"/>
  <cols>
    <col min="1" max="1" width="0.125" style="35" hidden="1" customWidth="1"/>
    <col min="2" max="2" width="9.75" style="35" customWidth="1"/>
    <col min="3" max="3" width="0.375" style="35" hidden="1" customWidth="1"/>
    <col min="4" max="4" width="1.625" style="35" customWidth="1"/>
    <col min="5" max="5" width="10.25" style="35" customWidth="1"/>
    <col min="6" max="6" width="7.125" style="35" hidden="1" customWidth="1"/>
    <col min="7" max="7" width="1.5" style="35" hidden="1" customWidth="1"/>
    <col min="8" max="8" width="2.625" style="35" hidden="1" customWidth="1"/>
    <col min="9" max="9" width="0.75" style="35" hidden="1" customWidth="1"/>
    <col min="10" max="10" width="5" style="35" hidden="1" customWidth="1"/>
    <col min="11" max="11" width="0.125" style="35" customWidth="1"/>
    <col min="12" max="12" width="10.25" style="35" customWidth="1"/>
    <col min="13" max="14" width="9.375" style="35" customWidth="1"/>
    <col min="15" max="15" width="10.875" style="35" customWidth="1"/>
    <col min="16" max="16" width="10.375" style="35" customWidth="1"/>
    <col min="17" max="17" width="9.75" style="35" customWidth="1"/>
    <col min="18" max="18" width="8.5" style="35" customWidth="1"/>
    <col min="19" max="19" width="9" style="35" customWidth="1"/>
    <col min="20" max="20" width="8.75" style="35" customWidth="1"/>
    <col min="21" max="21" width="10.625" style="35" customWidth="1"/>
    <col min="22" max="22" width="11.125" style="35" customWidth="1"/>
    <col min="23" max="16384" width="9" style="35"/>
  </cols>
  <sheetData>
    <row r="1" spans="1:22" hidden="1">
      <c r="A1" s="174"/>
      <c r="B1" s="175"/>
      <c r="C1" s="175"/>
      <c r="D1" s="175"/>
      <c r="E1" s="175"/>
      <c r="F1" s="175"/>
      <c r="G1" s="175"/>
      <c r="H1" s="175"/>
    </row>
    <row r="2" spans="1:22" ht="15.4" hidden="1" customHeight="1"/>
    <row r="3" spans="1:22" ht="21.2" customHeight="1">
      <c r="A3" s="176" t="s">
        <v>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</row>
    <row r="4" spans="1:22" ht="21.2" customHeight="1">
      <c r="A4" s="176" t="s">
        <v>1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</row>
    <row r="5" spans="1:22" ht="18" customHeight="1">
      <c r="A5" s="177" t="s">
        <v>102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</row>
    <row r="6" spans="1:22" ht="3.2" customHeight="1"/>
    <row r="7" spans="1:22" ht="47.25">
      <c r="A7" s="36"/>
      <c r="B7" s="37"/>
      <c r="C7" s="37"/>
      <c r="D7" s="37"/>
      <c r="E7" s="37"/>
      <c r="F7" s="37"/>
      <c r="G7" s="37"/>
      <c r="H7" s="37"/>
      <c r="I7" s="37"/>
      <c r="J7" s="37"/>
      <c r="K7" s="38"/>
      <c r="L7" s="178" t="s">
        <v>2</v>
      </c>
      <c r="M7" s="179"/>
      <c r="N7" s="180" t="s">
        <v>3</v>
      </c>
      <c r="O7" s="181"/>
      <c r="P7" s="77" t="s">
        <v>4</v>
      </c>
      <c r="Q7" s="77" t="s">
        <v>5</v>
      </c>
      <c r="R7" s="207" t="s">
        <v>6</v>
      </c>
      <c r="S7" s="208"/>
      <c r="T7" s="78" t="s">
        <v>108</v>
      </c>
      <c r="U7" s="77" t="s">
        <v>7</v>
      </c>
      <c r="V7" s="182" t="s">
        <v>8</v>
      </c>
    </row>
    <row r="8" spans="1:22" ht="18.75" hidden="1" customHeight="1">
      <c r="A8" s="29"/>
      <c r="B8" s="40"/>
      <c r="C8" s="40"/>
      <c r="D8" s="40"/>
      <c r="E8" s="40"/>
      <c r="F8" s="40"/>
      <c r="G8" s="40"/>
      <c r="H8" s="40"/>
      <c r="I8" s="40"/>
      <c r="J8" s="40"/>
      <c r="K8" s="41"/>
      <c r="L8" s="182" t="s">
        <v>9</v>
      </c>
      <c r="M8" s="183"/>
      <c r="N8" s="79"/>
      <c r="O8" s="80"/>
      <c r="P8" s="182" t="s">
        <v>11</v>
      </c>
      <c r="Q8" s="81" t="s">
        <v>12</v>
      </c>
      <c r="R8" s="39"/>
      <c r="S8" s="178" t="s">
        <v>13</v>
      </c>
      <c r="T8" s="77"/>
      <c r="U8" s="182" t="s">
        <v>14</v>
      </c>
      <c r="V8" s="141"/>
    </row>
    <row r="9" spans="1:22">
      <c r="A9" s="29"/>
      <c r="B9" s="40"/>
      <c r="C9" s="40"/>
      <c r="D9" s="40"/>
      <c r="E9" s="40"/>
      <c r="F9" s="40"/>
      <c r="G9" s="40"/>
      <c r="H9" s="187" t="s">
        <v>15</v>
      </c>
      <c r="I9" s="188"/>
      <c r="J9" s="188"/>
      <c r="K9" s="41"/>
      <c r="L9" s="184"/>
      <c r="M9" s="185"/>
      <c r="N9" s="189" t="s">
        <v>10</v>
      </c>
      <c r="O9" s="189"/>
      <c r="P9" s="184"/>
      <c r="Q9" s="82" t="s">
        <v>12</v>
      </c>
      <c r="R9" s="76" t="s">
        <v>106</v>
      </c>
      <c r="S9" s="186"/>
      <c r="T9" s="75" t="s">
        <v>109</v>
      </c>
      <c r="U9" s="184"/>
      <c r="V9" s="141"/>
    </row>
    <row r="10" spans="1:22" ht="14.25" customHeight="1">
      <c r="A10" s="29"/>
      <c r="B10" s="40"/>
      <c r="C10" s="40"/>
      <c r="D10" s="40"/>
      <c r="E10" s="40"/>
      <c r="F10" s="40"/>
      <c r="G10" s="40"/>
      <c r="H10" s="188"/>
      <c r="I10" s="188"/>
      <c r="J10" s="188"/>
      <c r="K10" s="41"/>
      <c r="L10" s="140" t="s">
        <v>16</v>
      </c>
      <c r="M10" s="140" t="s">
        <v>17</v>
      </c>
      <c r="N10" s="143" t="s">
        <v>18</v>
      </c>
      <c r="O10" s="140" t="s">
        <v>19</v>
      </c>
      <c r="P10" s="140" t="s">
        <v>20</v>
      </c>
      <c r="Q10" s="140" t="s">
        <v>21</v>
      </c>
      <c r="R10" s="143" t="s">
        <v>107</v>
      </c>
      <c r="S10" s="140" t="s">
        <v>22</v>
      </c>
      <c r="T10" s="28"/>
      <c r="U10" s="140" t="s">
        <v>23</v>
      </c>
      <c r="V10" s="141"/>
    </row>
    <row r="11" spans="1:22" ht="31.5">
      <c r="A11" s="190" t="s">
        <v>24</v>
      </c>
      <c r="B11" s="191"/>
      <c r="C11" s="191"/>
      <c r="D11" s="191"/>
      <c r="E11" s="191"/>
      <c r="F11" s="40"/>
      <c r="G11" s="40"/>
      <c r="H11" s="40"/>
      <c r="I11" s="40"/>
      <c r="J11" s="40"/>
      <c r="K11" s="41"/>
      <c r="L11" s="141"/>
      <c r="M11" s="141"/>
      <c r="N11" s="144"/>
      <c r="O11" s="141"/>
      <c r="P11" s="162"/>
      <c r="Q11" s="141"/>
      <c r="R11" s="144"/>
      <c r="S11" s="141"/>
      <c r="T11" s="33" t="s">
        <v>110</v>
      </c>
      <c r="U11" s="141"/>
      <c r="V11" s="141"/>
    </row>
    <row r="12" spans="1:22" ht="20.25" customHeight="1">
      <c r="A12" s="190"/>
      <c r="B12" s="191"/>
      <c r="C12" s="191"/>
      <c r="D12" s="191"/>
      <c r="E12" s="191"/>
      <c r="F12" s="40"/>
      <c r="G12" s="40"/>
      <c r="H12" s="40"/>
      <c r="I12" s="40"/>
      <c r="J12" s="40"/>
      <c r="K12" s="41"/>
      <c r="L12" s="142"/>
      <c r="M12" s="142"/>
      <c r="N12" s="145"/>
      <c r="O12" s="142"/>
      <c r="P12" s="163"/>
      <c r="Q12" s="142"/>
      <c r="R12" s="145"/>
      <c r="S12" s="142"/>
      <c r="T12" s="30"/>
      <c r="U12" s="142"/>
      <c r="V12" s="141"/>
    </row>
    <row r="13" spans="1:22" ht="18.75" hidden="1" customHeight="1">
      <c r="A13" s="190"/>
      <c r="B13" s="191"/>
      <c r="C13" s="191"/>
      <c r="D13" s="191"/>
      <c r="E13" s="191"/>
      <c r="F13" s="40"/>
      <c r="G13" s="40"/>
      <c r="H13" s="40"/>
      <c r="I13" s="40"/>
      <c r="J13" s="40"/>
      <c r="K13" s="41"/>
      <c r="L13" s="192" t="s">
        <v>25</v>
      </c>
      <c r="M13" s="192" t="s">
        <v>26</v>
      </c>
      <c r="N13" s="193" t="s">
        <v>27</v>
      </c>
      <c r="O13" s="192" t="s">
        <v>28</v>
      </c>
      <c r="P13" s="192" t="s">
        <v>29</v>
      </c>
      <c r="Q13" s="192" t="s">
        <v>30</v>
      </c>
      <c r="R13" s="42"/>
      <c r="S13" s="192" t="s">
        <v>31</v>
      </c>
      <c r="T13" s="42"/>
      <c r="U13" s="192" t="s">
        <v>32</v>
      </c>
      <c r="V13" s="141"/>
    </row>
    <row r="14" spans="1:22">
      <c r="A14" s="43"/>
      <c r="B14" s="44"/>
      <c r="C14" s="44"/>
      <c r="D14" s="40"/>
      <c r="E14" s="40"/>
      <c r="F14" s="40"/>
      <c r="G14" s="40"/>
      <c r="H14" s="40"/>
      <c r="I14" s="40"/>
      <c r="J14" s="40"/>
      <c r="K14" s="41"/>
      <c r="L14" s="141"/>
      <c r="M14" s="141"/>
      <c r="N14" s="194"/>
      <c r="O14" s="141"/>
      <c r="P14" s="162"/>
      <c r="Q14" s="141"/>
      <c r="R14" s="45" t="s">
        <v>106</v>
      </c>
      <c r="S14" s="141"/>
      <c r="T14" s="46" t="s">
        <v>111</v>
      </c>
      <c r="U14" s="141"/>
      <c r="V14" s="141"/>
    </row>
    <row r="15" spans="1:22" ht="18.75" customHeight="1">
      <c r="A15" s="195" t="s">
        <v>33</v>
      </c>
      <c r="B15" s="198" t="s">
        <v>23</v>
      </c>
      <c r="C15" s="47" t="s">
        <v>33</v>
      </c>
      <c r="D15" s="200" t="s">
        <v>34</v>
      </c>
      <c r="E15" s="201"/>
      <c r="F15" s="48" t="s">
        <v>35</v>
      </c>
      <c r="G15" s="200" t="s">
        <v>36</v>
      </c>
      <c r="H15" s="201"/>
      <c r="I15" s="201"/>
      <c r="J15" s="201"/>
      <c r="K15" s="201"/>
      <c r="L15" s="49">
        <v>0</v>
      </c>
      <c r="M15" s="49">
        <v>0</v>
      </c>
      <c r="N15" s="49"/>
      <c r="O15" s="49">
        <v>0</v>
      </c>
      <c r="P15" s="49">
        <v>0</v>
      </c>
      <c r="Q15" s="49">
        <v>0</v>
      </c>
      <c r="R15" s="49"/>
      <c r="S15" s="49">
        <v>0</v>
      </c>
      <c r="T15" s="49"/>
      <c r="U15" s="49">
        <f>10817+10431+10431</f>
        <v>31679</v>
      </c>
      <c r="V15" s="49">
        <f>SUM(L15:U15)</f>
        <v>31679</v>
      </c>
    </row>
    <row r="16" spans="1:22" ht="18.75" customHeight="1">
      <c r="A16" s="196"/>
      <c r="B16" s="199"/>
      <c r="C16" s="47" t="s">
        <v>33</v>
      </c>
      <c r="D16" s="200" t="s">
        <v>37</v>
      </c>
      <c r="E16" s="201"/>
      <c r="F16" s="48" t="s">
        <v>38</v>
      </c>
      <c r="G16" s="200" t="s">
        <v>36</v>
      </c>
      <c r="H16" s="201"/>
      <c r="I16" s="201"/>
      <c r="J16" s="201"/>
      <c r="K16" s="201"/>
      <c r="L16" s="49">
        <v>0</v>
      </c>
      <c r="M16" s="49">
        <v>0</v>
      </c>
      <c r="N16" s="49"/>
      <c r="O16" s="49">
        <v>0</v>
      </c>
      <c r="P16" s="49">
        <v>0</v>
      </c>
      <c r="Q16" s="49">
        <v>0</v>
      </c>
      <c r="R16" s="49"/>
      <c r="S16" s="49">
        <v>0</v>
      </c>
      <c r="T16" s="49"/>
      <c r="U16" s="49">
        <f>750100+744900+742100</f>
        <v>2237100</v>
      </c>
      <c r="V16" s="49">
        <f t="shared" ref="V16:V19" si="0">SUM(L16:U16)</f>
        <v>2237100</v>
      </c>
    </row>
    <row r="17" spans="1:22" ht="18.75" customHeight="1">
      <c r="A17" s="196"/>
      <c r="B17" s="199"/>
      <c r="C17" s="47" t="s">
        <v>33</v>
      </c>
      <c r="D17" s="200" t="s">
        <v>39</v>
      </c>
      <c r="E17" s="201"/>
      <c r="F17" s="48" t="s">
        <v>40</v>
      </c>
      <c r="G17" s="200" t="s">
        <v>36</v>
      </c>
      <c r="H17" s="201"/>
      <c r="I17" s="201"/>
      <c r="J17" s="201"/>
      <c r="K17" s="201"/>
      <c r="L17" s="49">
        <v>0</v>
      </c>
      <c r="M17" s="49">
        <v>0</v>
      </c>
      <c r="N17" s="49"/>
      <c r="O17" s="49">
        <v>0</v>
      </c>
      <c r="P17" s="49">
        <v>0</v>
      </c>
      <c r="Q17" s="49">
        <v>0</v>
      </c>
      <c r="R17" s="49"/>
      <c r="S17" s="49">
        <v>0</v>
      </c>
      <c r="T17" s="49"/>
      <c r="U17" s="49">
        <f>220800+218400+227200</f>
        <v>666400</v>
      </c>
      <c r="V17" s="49">
        <f t="shared" si="0"/>
        <v>666400</v>
      </c>
    </row>
    <row r="18" spans="1:22" ht="18.75" customHeight="1">
      <c r="A18" s="196"/>
      <c r="B18" s="199"/>
      <c r="C18" s="47" t="s">
        <v>33</v>
      </c>
      <c r="D18" s="200" t="s">
        <v>41</v>
      </c>
      <c r="E18" s="201"/>
      <c r="F18" s="48" t="s">
        <v>42</v>
      </c>
      <c r="G18" s="200" t="s">
        <v>36</v>
      </c>
      <c r="H18" s="201"/>
      <c r="I18" s="201"/>
      <c r="J18" s="201"/>
      <c r="K18" s="201"/>
      <c r="L18" s="49">
        <v>0</v>
      </c>
      <c r="M18" s="49">
        <v>0</v>
      </c>
      <c r="N18" s="49"/>
      <c r="O18" s="49">
        <v>0</v>
      </c>
      <c r="P18" s="49">
        <v>0</v>
      </c>
      <c r="Q18" s="49">
        <v>0</v>
      </c>
      <c r="R18" s="49"/>
      <c r="S18" s="49">
        <v>0</v>
      </c>
      <c r="T18" s="49"/>
      <c r="U18" s="49">
        <f>27500+27500+21600</f>
        <v>76600</v>
      </c>
      <c r="V18" s="49">
        <f t="shared" si="0"/>
        <v>76600</v>
      </c>
    </row>
    <row r="19" spans="1:22" ht="18.75" customHeight="1">
      <c r="A19" s="196"/>
      <c r="B19" s="199"/>
      <c r="C19" s="50" t="s">
        <v>33</v>
      </c>
      <c r="D19" s="202" t="s">
        <v>43</v>
      </c>
      <c r="E19" s="203"/>
      <c r="F19" s="51" t="s">
        <v>44</v>
      </c>
      <c r="G19" s="202" t="s">
        <v>36</v>
      </c>
      <c r="H19" s="203"/>
      <c r="I19" s="203"/>
      <c r="J19" s="203"/>
      <c r="K19" s="203"/>
      <c r="L19" s="49">
        <v>0</v>
      </c>
      <c r="M19" s="49">
        <v>0</v>
      </c>
      <c r="N19" s="49"/>
      <c r="O19" s="49">
        <v>0</v>
      </c>
      <c r="P19" s="49">
        <v>0</v>
      </c>
      <c r="Q19" s="49">
        <v>0</v>
      </c>
      <c r="R19" s="49"/>
      <c r="S19" s="49">
        <v>0</v>
      </c>
      <c r="T19" s="49"/>
      <c r="U19" s="49">
        <v>0</v>
      </c>
      <c r="V19" s="49">
        <f t="shared" si="0"/>
        <v>0</v>
      </c>
    </row>
    <row r="20" spans="1:22" ht="18.75" customHeight="1">
      <c r="A20" s="197"/>
      <c r="B20" s="204" t="s">
        <v>8</v>
      </c>
      <c r="C20" s="201"/>
      <c r="D20" s="201"/>
      <c r="E20" s="201"/>
      <c r="F20" s="201"/>
      <c r="G20" s="201"/>
      <c r="H20" s="201"/>
      <c r="I20" s="201"/>
      <c r="J20" s="201"/>
      <c r="K20" s="201"/>
      <c r="L20" s="52">
        <f>SUM(L15:L19)</f>
        <v>0</v>
      </c>
      <c r="M20" s="52">
        <v>0</v>
      </c>
      <c r="N20" s="52"/>
      <c r="O20" s="52">
        <v>0</v>
      </c>
      <c r="P20" s="52">
        <v>0</v>
      </c>
      <c r="Q20" s="52">
        <v>0</v>
      </c>
      <c r="R20" s="52"/>
      <c r="S20" s="52">
        <v>0</v>
      </c>
      <c r="T20" s="52"/>
      <c r="U20" s="52">
        <f>SUM(U15:U19)</f>
        <v>3011779</v>
      </c>
      <c r="V20" s="52">
        <f>SUM(V15:V19)</f>
        <v>3011779</v>
      </c>
    </row>
    <row r="21" spans="1:22" ht="21.75" customHeight="1">
      <c r="A21" s="205" t="s">
        <v>33</v>
      </c>
      <c r="B21" s="200" t="s">
        <v>45</v>
      </c>
      <c r="C21" s="53" t="s">
        <v>33</v>
      </c>
      <c r="D21" s="200" t="s">
        <v>46</v>
      </c>
      <c r="E21" s="201"/>
      <c r="F21" s="48" t="s">
        <v>47</v>
      </c>
      <c r="G21" s="200" t="s">
        <v>36</v>
      </c>
      <c r="H21" s="201"/>
      <c r="I21" s="201"/>
      <c r="J21" s="201"/>
      <c r="K21" s="201"/>
      <c r="L21" s="49">
        <f>57960+57960+57960</f>
        <v>173880</v>
      </c>
      <c r="M21" s="49">
        <v>0</v>
      </c>
      <c r="N21" s="49"/>
      <c r="O21" s="49">
        <v>0</v>
      </c>
      <c r="P21" s="49">
        <v>0</v>
      </c>
      <c r="Q21" s="49">
        <v>0</v>
      </c>
      <c r="R21" s="49"/>
      <c r="S21" s="49">
        <v>0</v>
      </c>
      <c r="T21" s="49"/>
      <c r="U21" s="49">
        <v>0</v>
      </c>
      <c r="V21" s="49">
        <f>SUM(L21:U21)</f>
        <v>173880</v>
      </c>
    </row>
    <row r="22" spans="1:22">
      <c r="A22" s="206"/>
      <c r="B22" s="201"/>
      <c r="C22" s="53" t="s">
        <v>33</v>
      </c>
      <c r="D22" s="200" t="s">
        <v>48</v>
      </c>
      <c r="E22" s="201"/>
      <c r="F22" s="48" t="s">
        <v>49</v>
      </c>
      <c r="G22" s="200" t="s">
        <v>36</v>
      </c>
      <c r="H22" s="201"/>
      <c r="I22" s="201"/>
      <c r="J22" s="201"/>
      <c r="K22" s="201"/>
      <c r="L22" s="49">
        <f>10000+10000+10000</f>
        <v>30000</v>
      </c>
      <c r="M22" s="49">
        <v>0</v>
      </c>
      <c r="N22" s="49"/>
      <c r="O22" s="49">
        <v>0</v>
      </c>
      <c r="P22" s="49">
        <v>0</v>
      </c>
      <c r="Q22" s="49">
        <v>0</v>
      </c>
      <c r="R22" s="49"/>
      <c r="S22" s="49">
        <v>0</v>
      </c>
      <c r="T22" s="49"/>
      <c r="U22" s="49">
        <v>0</v>
      </c>
      <c r="V22" s="49">
        <f t="shared" ref="V22:V25" si="1">SUM(L22:U22)</f>
        <v>30000</v>
      </c>
    </row>
    <row r="23" spans="1:22">
      <c r="A23" s="206"/>
      <c r="B23" s="201"/>
      <c r="C23" s="53" t="s">
        <v>33</v>
      </c>
      <c r="D23" s="200" t="s">
        <v>50</v>
      </c>
      <c r="E23" s="201"/>
      <c r="F23" s="48" t="s">
        <v>51</v>
      </c>
      <c r="G23" s="200" t="s">
        <v>36</v>
      </c>
      <c r="H23" s="201"/>
      <c r="I23" s="201"/>
      <c r="J23" s="201"/>
      <c r="K23" s="201"/>
      <c r="L23" s="49">
        <v>30000</v>
      </c>
      <c r="M23" s="49">
        <v>0</v>
      </c>
      <c r="N23" s="49"/>
      <c r="O23" s="49">
        <v>0</v>
      </c>
      <c r="P23" s="49">
        <v>0</v>
      </c>
      <c r="Q23" s="49">
        <v>0</v>
      </c>
      <c r="R23" s="49"/>
      <c r="S23" s="49">
        <v>0</v>
      </c>
      <c r="T23" s="49"/>
      <c r="U23" s="49">
        <v>0</v>
      </c>
      <c r="V23" s="49">
        <f t="shared" si="1"/>
        <v>30000</v>
      </c>
    </row>
    <row r="24" spans="1:22">
      <c r="A24" s="206"/>
      <c r="B24" s="201"/>
      <c r="C24" s="53" t="s">
        <v>33</v>
      </c>
      <c r="D24" s="200" t="s">
        <v>52</v>
      </c>
      <c r="E24" s="201"/>
      <c r="F24" s="48" t="s">
        <v>53</v>
      </c>
      <c r="G24" s="200" t="s">
        <v>36</v>
      </c>
      <c r="H24" s="201"/>
      <c r="I24" s="201"/>
      <c r="J24" s="201"/>
      <c r="K24" s="201"/>
      <c r="L24" s="49">
        <f>16560+16560+16560</f>
        <v>49680</v>
      </c>
      <c r="M24" s="49">
        <v>0</v>
      </c>
      <c r="N24" s="49"/>
      <c r="O24" s="49">
        <v>0</v>
      </c>
      <c r="P24" s="49">
        <v>0</v>
      </c>
      <c r="Q24" s="49">
        <v>0</v>
      </c>
      <c r="R24" s="49"/>
      <c r="S24" s="49">
        <v>0</v>
      </c>
      <c r="T24" s="49"/>
      <c r="U24" s="49">
        <v>0</v>
      </c>
      <c r="V24" s="49">
        <f t="shared" si="1"/>
        <v>49680</v>
      </c>
    </row>
    <row r="25" spans="1:22">
      <c r="A25" s="206"/>
      <c r="B25" s="201"/>
      <c r="C25" s="53" t="s">
        <v>33</v>
      </c>
      <c r="D25" s="200" t="s">
        <v>54</v>
      </c>
      <c r="E25" s="201"/>
      <c r="F25" s="48" t="s">
        <v>55</v>
      </c>
      <c r="G25" s="200" t="s">
        <v>36</v>
      </c>
      <c r="H25" s="201"/>
      <c r="I25" s="201"/>
      <c r="J25" s="201"/>
      <c r="K25" s="201"/>
      <c r="L25" s="49">
        <f>124200+124200+124200</f>
        <v>372600</v>
      </c>
      <c r="M25" s="49">
        <v>0</v>
      </c>
      <c r="N25" s="49"/>
      <c r="O25" s="49">
        <v>0</v>
      </c>
      <c r="P25" s="49">
        <v>0</v>
      </c>
      <c r="Q25" s="49">
        <v>0</v>
      </c>
      <c r="R25" s="49"/>
      <c r="S25" s="49">
        <v>0</v>
      </c>
      <c r="T25" s="49"/>
      <c r="U25" s="49">
        <v>0</v>
      </c>
      <c r="V25" s="49">
        <f t="shared" si="1"/>
        <v>372600</v>
      </c>
    </row>
    <row r="26" spans="1:22">
      <c r="A26" s="206"/>
      <c r="B26" s="201"/>
      <c r="C26" s="204" t="s">
        <v>8</v>
      </c>
      <c r="D26" s="201"/>
      <c r="E26" s="201"/>
      <c r="F26" s="201"/>
      <c r="G26" s="201"/>
      <c r="H26" s="201"/>
      <c r="I26" s="201"/>
      <c r="J26" s="201"/>
      <c r="K26" s="201"/>
      <c r="L26" s="52">
        <f>SUM(L21:L25)</f>
        <v>656160</v>
      </c>
      <c r="M26" s="52">
        <f>SUM(M21:M25)</f>
        <v>0</v>
      </c>
      <c r="N26" s="52">
        <f t="shared" ref="N26" si="2">SUM(N21:N25)</f>
        <v>0</v>
      </c>
      <c r="O26" s="52">
        <f>SUM(O21:O25)</f>
        <v>0</v>
      </c>
      <c r="P26" s="52">
        <f ca="1">SUM(P21:P26)</f>
        <v>0</v>
      </c>
      <c r="Q26" s="52">
        <f>SUM(Q21:Q25)</f>
        <v>0</v>
      </c>
      <c r="R26" s="52"/>
      <c r="S26" s="52">
        <f>SUM(S21:S25)</f>
        <v>0</v>
      </c>
      <c r="T26" s="52"/>
      <c r="U26" s="52">
        <f>SUM(U21:U25)</f>
        <v>0</v>
      </c>
      <c r="V26" s="52">
        <f>SUM(V21:V25)</f>
        <v>656160</v>
      </c>
    </row>
    <row r="27" spans="1:22" ht="21" customHeight="1">
      <c r="A27" s="205" t="s">
        <v>33</v>
      </c>
      <c r="B27" s="200" t="s">
        <v>56</v>
      </c>
      <c r="C27" s="53" t="s">
        <v>33</v>
      </c>
      <c r="D27" s="200" t="s">
        <v>57</v>
      </c>
      <c r="E27" s="201"/>
      <c r="F27" s="48" t="s">
        <v>58</v>
      </c>
      <c r="G27" s="200" t="s">
        <v>36</v>
      </c>
      <c r="H27" s="201"/>
      <c r="I27" s="201"/>
      <c r="J27" s="201"/>
      <c r="K27" s="201"/>
      <c r="L27" s="49">
        <f>208385+226240+230600</f>
        <v>665225</v>
      </c>
      <c r="M27" s="49">
        <f>69190+69190+69190</f>
        <v>207570</v>
      </c>
      <c r="N27" s="54">
        <f>23080*3</f>
        <v>69240</v>
      </c>
      <c r="O27" s="49">
        <f>60160+60160+60160</f>
        <v>180480</v>
      </c>
      <c r="P27" s="54">
        <f>42410*3</f>
        <v>127230</v>
      </c>
      <c r="Q27" s="49">
        <v>0</v>
      </c>
      <c r="R27" s="49"/>
      <c r="S27" s="49">
        <v>0</v>
      </c>
      <c r="T27" s="49"/>
      <c r="U27" s="49">
        <v>0</v>
      </c>
      <c r="V27" s="49">
        <f>SUM(L27:U27)</f>
        <v>1249745</v>
      </c>
    </row>
    <row r="28" spans="1:22" ht="37.5" customHeight="1">
      <c r="A28" s="206"/>
      <c r="B28" s="201"/>
      <c r="C28" s="53" t="s">
        <v>33</v>
      </c>
      <c r="D28" s="200" t="s">
        <v>59</v>
      </c>
      <c r="E28" s="201"/>
      <c r="F28" s="48" t="s">
        <v>60</v>
      </c>
      <c r="G28" s="200" t="s">
        <v>36</v>
      </c>
      <c r="H28" s="201"/>
      <c r="I28" s="201"/>
      <c r="J28" s="201"/>
      <c r="K28" s="201"/>
      <c r="L28" s="49">
        <v>320</v>
      </c>
      <c r="M28" s="49">
        <v>0</v>
      </c>
      <c r="N28" s="49"/>
      <c r="O28" s="49">
        <v>0</v>
      </c>
      <c r="P28" s="54">
        <f>555*3</f>
        <v>1665</v>
      </c>
      <c r="Q28" s="49">
        <v>0</v>
      </c>
      <c r="R28" s="49"/>
      <c r="S28" s="49">
        <v>0</v>
      </c>
      <c r="T28" s="49"/>
      <c r="U28" s="49">
        <v>0</v>
      </c>
      <c r="V28" s="49">
        <f t="shared" ref="V28:V32" si="3">SUM(L28:U28)</f>
        <v>1985</v>
      </c>
    </row>
    <row r="29" spans="1:22" ht="21" customHeight="1">
      <c r="A29" s="206"/>
      <c r="B29" s="201"/>
      <c r="C29" s="53" t="s">
        <v>33</v>
      </c>
      <c r="D29" s="200" t="s">
        <v>61</v>
      </c>
      <c r="E29" s="201"/>
      <c r="F29" s="48" t="s">
        <v>62</v>
      </c>
      <c r="G29" s="200" t="s">
        <v>36</v>
      </c>
      <c r="H29" s="201"/>
      <c r="I29" s="201"/>
      <c r="J29" s="201"/>
      <c r="K29" s="201"/>
      <c r="L29" s="49">
        <f>15500+15500+15500</f>
        <v>46500</v>
      </c>
      <c r="M29" s="49">
        <f>3500+3500+5645</f>
        <v>12645</v>
      </c>
      <c r="N29" s="49"/>
      <c r="O29" s="49">
        <v>0</v>
      </c>
      <c r="P29" s="54">
        <f>3500*3</f>
        <v>10500</v>
      </c>
      <c r="Q29" s="49">
        <v>0</v>
      </c>
      <c r="R29" s="49"/>
      <c r="S29" s="49">
        <v>0</v>
      </c>
      <c r="T29" s="49"/>
      <c r="U29" s="49">
        <v>0</v>
      </c>
      <c r="V29" s="49">
        <f t="shared" si="3"/>
        <v>69645</v>
      </c>
    </row>
    <row r="30" spans="1:22" ht="21" customHeight="1">
      <c r="A30" s="206"/>
      <c r="B30" s="201"/>
      <c r="C30" s="53" t="s">
        <v>33</v>
      </c>
      <c r="D30" s="200" t="s">
        <v>63</v>
      </c>
      <c r="E30" s="201"/>
      <c r="F30" s="48" t="s">
        <v>64</v>
      </c>
      <c r="G30" s="200" t="s">
        <v>36</v>
      </c>
      <c r="H30" s="201"/>
      <c r="I30" s="201"/>
      <c r="J30" s="201"/>
      <c r="K30" s="201"/>
      <c r="L30" s="49">
        <f>82370+82370+82370</f>
        <v>247110</v>
      </c>
      <c r="M30" s="49">
        <f>32210+32210+32210</f>
        <v>96630</v>
      </c>
      <c r="N30" s="54">
        <f>9000*3</f>
        <v>27000</v>
      </c>
      <c r="O30" s="49">
        <f>24440+24440+24440</f>
        <v>73320</v>
      </c>
      <c r="P30" s="54">
        <f>39760+39760+39760</f>
        <v>119280</v>
      </c>
      <c r="Q30" s="49">
        <v>0</v>
      </c>
      <c r="R30" s="49"/>
      <c r="S30" s="49">
        <v>0</v>
      </c>
      <c r="T30" s="49"/>
      <c r="U30" s="49">
        <v>0</v>
      </c>
      <c r="V30" s="49">
        <f t="shared" si="3"/>
        <v>563340</v>
      </c>
    </row>
    <row r="31" spans="1:22" ht="37.5" customHeight="1">
      <c r="A31" s="206"/>
      <c r="B31" s="201"/>
      <c r="C31" s="53" t="s">
        <v>33</v>
      </c>
      <c r="D31" s="200" t="s">
        <v>65</v>
      </c>
      <c r="E31" s="201"/>
      <c r="F31" s="48" t="s">
        <v>66</v>
      </c>
      <c r="G31" s="200" t="s">
        <v>36</v>
      </c>
      <c r="H31" s="201"/>
      <c r="I31" s="201"/>
      <c r="J31" s="201"/>
      <c r="K31" s="201"/>
      <c r="L31" s="49">
        <f>7485+7485+7485</f>
        <v>22455</v>
      </c>
      <c r="M31" s="49">
        <f>3255+3255+3255</f>
        <v>9765</v>
      </c>
      <c r="N31" s="54">
        <f>1000*3</f>
        <v>3000</v>
      </c>
      <c r="O31" s="49">
        <f>2130+2130+2130</f>
        <v>6390</v>
      </c>
      <c r="P31" s="54">
        <f>7000+7000+7000</f>
        <v>21000</v>
      </c>
      <c r="Q31" s="49">
        <v>0</v>
      </c>
      <c r="R31" s="49"/>
      <c r="S31" s="49">
        <v>0</v>
      </c>
      <c r="T31" s="49"/>
      <c r="U31" s="49">
        <v>0</v>
      </c>
      <c r="V31" s="49">
        <f t="shared" si="3"/>
        <v>62610</v>
      </c>
    </row>
    <row r="32" spans="1:22" ht="36" customHeight="1">
      <c r="A32" s="206"/>
      <c r="B32" s="201"/>
      <c r="C32" s="53" t="s">
        <v>33</v>
      </c>
      <c r="D32" s="200" t="s">
        <v>67</v>
      </c>
      <c r="E32" s="201"/>
      <c r="F32" s="48" t="s">
        <v>68</v>
      </c>
      <c r="G32" s="200" t="s">
        <v>69</v>
      </c>
      <c r="H32" s="201"/>
      <c r="I32" s="201"/>
      <c r="J32" s="201"/>
      <c r="K32" s="201"/>
      <c r="L32" s="49">
        <v>0</v>
      </c>
      <c r="M32" s="49">
        <v>0</v>
      </c>
      <c r="N32" s="54">
        <v>0</v>
      </c>
      <c r="O32" s="49">
        <v>0</v>
      </c>
      <c r="P32" s="49">
        <v>0</v>
      </c>
      <c r="Q32" s="49">
        <v>0</v>
      </c>
      <c r="R32" s="49"/>
      <c r="S32" s="49">
        <v>0</v>
      </c>
      <c r="T32" s="49"/>
      <c r="U32" s="49">
        <v>0</v>
      </c>
      <c r="V32" s="49">
        <f t="shared" si="3"/>
        <v>0</v>
      </c>
    </row>
    <row r="33" spans="1:22" ht="19.5" customHeight="1">
      <c r="A33" s="206"/>
      <c r="B33" s="201"/>
      <c r="C33" s="204" t="s">
        <v>8</v>
      </c>
      <c r="D33" s="201"/>
      <c r="E33" s="201"/>
      <c r="F33" s="201"/>
      <c r="G33" s="201"/>
      <c r="H33" s="201"/>
      <c r="I33" s="201"/>
      <c r="J33" s="201"/>
      <c r="K33" s="201"/>
      <c r="L33" s="52">
        <f>SUM(L27:L32)</f>
        <v>981610</v>
      </c>
      <c r="M33" s="52">
        <f>SUM(M27:M32)</f>
        <v>326610</v>
      </c>
      <c r="N33" s="55">
        <f>SUM(N27:N32)</f>
        <v>99240</v>
      </c>
      <c r="O33" s="52">
        <f>SUM(O27:O32)</f>
        <v>260190</v>
      </c>
      <c r="P33" s="55">
        <f>SUM(P27:P32)</f>
        <v>279675</v>
      </c>
      <c r="Q33" s="52">
        <v>0</v>
      </c>
      <c r="R33" s="52"/>
      <c r="S33" s="52">
        <v>0</v>
      </c>
      <c r="T33" s="52"/>
      <c r="U33" s="52">
        <v>0</v>
      </c>
      <c r="V33" s="52">
        <f>SUM(V27:V32)</f>
        <v>1947325</v>
      </c>
    </row>
    <row r="34" spans="1:22" ht="24" customHeight="1">
      <c r="A34" s="205" t="s">
        <v>33</v>
      </c>
      <c r="B34" s="200" t="s">
        <v>70</v>
      </c>
      <c r="C34" s="53" t="s">
        <v>33</v>
      </c>
      <c r="D34" s="200" t="s">
        <v>71</v>
      </c>
      <c r="E34" s="201"/>
      <c r="F34" s="48" t="s">
        <v>72</v>
      </c>
      <c r="G34" s="200" t="s">
        <v>36</v>
      </c>
      <c r="H34" s="201"/>
      <c r="I34" s="201"/>
      <c r="J34" s="201"/>
      <c r="K34" s="201"/>
      <c r="L34" s="49">
        <f>24500+15500+20800</f>
        <v>60800</v>
      </c>
      <c r="M34" s="49">
        <f>9000+9000+9000</f>
        <v>27000</v>
      </c>
      <c r="N34" s="54">
        <f>3000+3000+3000</f>
        <v>9000</v>
      </c>
      <c r="O34" s="49">
        <v>0</v>
      </c>
      <c r="P34" s="54">
        <f>5450+5450+1950</f>
        <v>12850</v>
      </c>
      <c r="Q34" s="49">
        <v>0</v>
      </c>
      <c r="R34" s="49"/>
      <c r="S34" s="49">
        <v>0</v>
      </c>
      <c r="T34" s="49"/>
      <c r="U34" s="49">
        <v>0</v>
      </c>
      <c r="V34" s="49">
        <f>SUM(L34:U34)</f>
        <v>109650</v>
      </c>
    </row>
    <row r="35" spans="1:22">
      <c r="A35" s="206"/>
      <c r="B35" s="201"/>
      <c r="C35" s="53" t="s">
        <v>33</v>
      </c>
      <c r="D35" s="200" t="s">
        <v>73</v>
      </c>
      <c r="E35" s="201"/>
      <c r="F35" s="48" t="s">
        <v>74</v>
      </c>
      <c r="G35" s="200" t="s">
        <v>36</v>
      </c>
      <c r="H35" s="201"/>
      <c r="I35" s="201"/>
      <c r="J35" s="201"/>
      <c r="K35" s="201"/>
      <c r="L35" s="49">
        <v>4200</v>
      </c>
      <c r="M35" s="49">
        <v>0</v>
      </c>
      <c r="N35" s="49"/>
      <c r="O35" s="49">
        <v>0</v>
      </c>
      <c r="P35" s="54">
        <v>4200</v>
      </c>
      <c r="Q35" s="49">
        <v>0</v>
      </c>
      <c r="R35" s="49"/>
      <c r="S35" s="49">
        <v>0</v>
      </c>
      <c r="T35" s="49"/>
      <c r="U35" s="49">
        <v>0</v>
      </c>
      <c r="V35" s="49">
        <f t="shared" ref="V35:V36" si="4">SUM(L35:U35)</f>
        <v>8400</v>
      </c>
    </row>
    <row r="36" spans="1:22" ht="42.75" customHeight="1">
      <c r="A36" s="206"/>
      <c r="B36" s="201"/>
      <c r="C36" s="53"/>
      <c r="D36" s="211" t="s">
        <v>103</v>
      </c>
      <c r="E36" s="211"/>
      <c r="F36" s="48"/>
      <c r="G36" s="56"/>
      <c r="H36" s="57"/>
      <c r="I36" s="57"/>
      <c r="J36" s="57"/>
      <c r="K36" s="57"/>
      <c r="L36" s="49">
        <v>2850</v>
      </c>
      <c r="M36" s="49"/>
      <c r="N36" s="49"/>
      <c r="O36" s="49"/>
      <c r="P36" s="54"/>
      <c r="Q36" s="49"/>
      <c r="R36" s="49"/>
      <c r="S36" s="49"/>
      <c r="T36" s="49"/>
      <c r="U36" s="49"/>
      <c r="V36" s="49">
        <f t="shared" si="4"/>
        <v>2850</v>
      </c>
    </row>
    <row r="37" spans="1:22" ht="19.5" customHeight="1">
      <c r="A37" s="206"/>
      <c r="B37" s="201"/>
      <c r="C37" s="204" t="s">
        <v>8</v>
      </c>
      <c r="D37" s="201"/>
      <c r="E37" s="201"/>
      <c r="F37" s="201"/>
      <c r="G37" s="201"/>
      <c r="H37" s="201"/>
      <c r="I37" s="201"/>
      <c r="J37" s="201"/>
      <c r="K37" s="201"/>
      <c r="L37" s="52">
        <f>SUM(L34:L36)</f>
        <v>67850</v>
      </c>
      <c r="M37" s="52">
        <f t="shared" ref="M37:V37" si="5">SUM(M34:M36)</f>
        <v>27000</v>
      </c>
      <c r="N37" s="52">
        <f t="shared" si="5"/>
        <v>9000</v>
      </c>
      <c r="O37" s="52">
        <f t="shared" si="5"/>
        <v>0</v>
      </c>
      <c r="P37" s="52">
        <f t="shared" si="5"/>
        <v>17050</v>
      </c>
      <c r="Q37" s="52">
        <f t="shared" si="5"/>
        <v>0</v>
      </c>
      <c r="R37" s="52"/>
      <c r="S37" s="52">
        <f t="shared" si="5"/>
        <v>0</v>
      </c>
      <c r="T37" s="52"/>
      <c r="U37" s="52">
        <f t="shared" si="5"/>
        <v>0</v>
      </c>
      <c r="V37" s="52">
        <f t="shared" si="5"/>
        <v>120900</v>
      </c>
    </row>
    <row r="38" spans="1:22">
      <c r="A38" s="205" t="s">
        <v>33</v>
      </c>
      <c r="B38" s="200" t="s">
        <v>75</v>
      </c>
      <c r="C38" s="53" t="s">
        <v>33</v>
      </c>
      <c r="D38" s="200" t="s">
        <v>76</v>
      </c>
      <c r="E38" s="201"/>
      <c r="F38" s="48" t="s">
        <v>77</v>
      </c>
      <c r="G38" s="200" t="s">
        <v>36</v>
      </c>
      <c r="H38" s="201"/>
      <c r="I38" s="201"/>
      <c r="J38" s="201"/>
      <c r="K38" s="201"/>
      <c r="L38" s="49">
        <f>36310+33420+26800</f>
        <v>96530</v>
      </c>
      <c r="M38" s="49">
        <f>11500+14500+22770</f>
        <v>48770</v>
      </c>
      <c r="N38" s="49"/>
      <c r="O38" s="49">
        <f>17100+10200+18000</f>
        <v>45300</v>
      </c>
      <c r="P38" s="54">
        <v>0</v>
      </c>
      <c r="Q38" s="49">
        <v>0</v>
      </c>
      <c r="R38" s="49"/>
      <c r="S38" s="49">
        <v>0</v>
      </c>
      <c r="T38" s="49"/>
      <c r="U38" s="49">
        <v>0</v>
      </c>
      <c r="V38" s="49">
        <f>SUM(L38:U38)</f>
        <v>190600</v>
      </c>
    </row>
    <row r="39" spans="1:22">
      <c r="A39" s="206"/>
      <c r="B39" s="201"/>
      <c r="C39" s="53" t="s">
        <v>33</v>
      </c>
      <c r="D39" s="200" t="s">
        <v>78</v>
      </c>
      <c r="E39" s="201"/>
      <c r="F39" s="48" t="s">
        <v>79</v>
      </c>
      <c r="G39" s="200" t="s">
        <v>36</v>
      </c>
      <c r="H39" s="201"/>
      <c r="I39" s="201"/>
      <c r="J39" s="201"/>
      <c r="K39" s="201"/>
      <c r="L39" s="49">
        <f>41600+173420+39648</f>
        <v>254668</v>
      </c>
      <c r="M39" s="49">
        <f>5200+7732</f>
        <v>12932</v>
      </c>
      <c r="N39" s="49"/>
      <c r="O39" s="49">
        <v>111600</v>
      </c>
      <c r="P39" s="54"/>
      <c r="Q39" s="49">
        <f>59140+260390</f>
        <v>319530</v>
      </c>
      <c r="R39" s="49">
        <f>48500+38170</f>
        <v>86670</v>
      </c>
      <c r="S39" s="34">
        <v>29000</v>
      </c>
      <c r="T39" s="34">
        <f>24600+44150</f>
        <v>68750</v>
      </c>
      <c r="U39" s="49"/>
      <c r="V39" s="49">
        <f t="shared" ref="V39:V41" si="6">SUM(L39:U39)</f>
        <v>883150</v>
      </c>
    </row>
    <row r="40" spans="1:22">
      <c r="A40" s="206"/>
      <c r="B40" s="201"/>
      <c r="C40" s="53"/>
      <c r="D40" s="211" t="s">
        <v>104</v>
      </c>
      <c r="E40" s="211"/>
      <c r="F40" s="48"/>
      <c r="G40" s="56"/>
      <c r="H40" s="57"/>
      <c r="I40" s="57"/>
      <c r="J40" s="57"/>
      <c r="K40" s="57"/>
      <c r="L40" s="49">
        <v>8190</v>
      </c>
      <c r="M40" s="49"/>
      <c r="N40" s="49"/>
      <c r="O40" s="49"/>
      <c r="P40" s="54"/>
      <c r="Q40" s="58"/>
      <c r="R40" s="49"/>
      <c r="S40" s="49"/>
      <c r="T40" s="49"/>
      <c r="U40" s="49"/>
      <c r="V40" s="49">
        <f t="shared" si="6"/>
        <v>8190</v>
      </c>
    </row>
    <row r="41" spans="1:22">
      <c r="A41" s="206"/>
      <c r="B41" s="201"/>
      <c r="C41" s="53"/>
      <c r="D41" s="211" t="s">
        <v>105</v>
      </c>
      <c r="E41" s="211"/>
      <c r="F41" s="48"/>
      <c r="G41" s="56"/>
      <c r="H41" s="57"/>
      <c r="I41" s="57"/>
      <c r="J41" s="57"/>
      <c r="K41" s="57"/>
      <c r="L41" s="49">
        <f>13584+5050+10456.04</f>
        <v>29090.04</v>
      </c>
      <c r="M41" s="49"/>
      <c r="N41" s="49"/>
      <c r="O41" s="49"/>
      <c r="P41" s="54"/>
      <c r="Q41" s="49"/>
      <c r="R41" s="49"/>
      <c r="S41" s="49"/>
      <c r="T41" s="49"/>
      <c r="U41" s="49"/>
      <c r="V41" s="49">
        <f t="shared" si="6"/>
        <v>29090.04</v>
      </c>
    </row>
    <row r="42" spans="1:22" ht="21" customHeight="1">
      <c r="A42" s="206"/>
      <c r="B42" s="201"/>
      <c r="C42" s="204" t="s">
        <v>8</v>
      </c>
      <c r="D42" s="201"/>
      <c r="E42" s="201"/>
      <c r="F42" s="201"/>
      <c r="G42" s="201"/>
      <c r="H42" s="201"/>
      <c r="I42" s="201"/>
      <c r="J42" s="201"/>
      <c r="K42" s="201"/>
      <c r="L42" s="52">
        <f>SUM(L38:L41)</f>
        <v>388478.04</v>
      </c>
      <c r="M42" s="52">
        <f t="shared" ref="M42:U42" si="7">SUM(M38:M41)</f>
        <v>61702</v>
      </c>
      <c r="N42" s="52">
        <f t="shared" si="7"/>
        <v>0</v>
      </c>
      <c r="O42" s="52">
        <f t="shared" si="7"/>
        <v>156900</v>
      </c>
      <c r="P42" s="52">
        <f t="shared" si="7"/>
        <v>0</v>
      </c>
      <c r="Q42" s="52">
        <f t="shared" si="7"/>
        <v>319530</v>
      </c>
      <c r="R42" s="52">
        <f t="shared" si="7"/>
        <v>86670</v>
      </c>
      <c r="S42" s="52">
        <f t="shared" si="7"/>
        <v>29000</v>
      </c>
      <c r="T42" s="52">
        <f t="shared" si="7"/>
        <v>68750</v>
      </c>
      <c r="U42" s="52">
        <f t="shared" si="7"/>
        <v>0</v>
      </c>
      <c r="V42" s="52">
        <f>SUM(V38:V41)</f>
        <v>1111030.04</v>
      </c>
    </row>
    <row r="43" spans="1:22" ht="24" customHeight="1">
      <c r="A43" s="205" t="s">
        <v>33</v>
      </c>
      <c r="B43" s="200" t="s">
        <v>80</v>
      </c>
      <c r="C43" s="59" t="s">
        <v>33</v>
      </c>
      <c r="D43" s="211" t="s">
        <v>81</v>
      </c>
      <c r="E43" s="209"/>
      <c r="F43" s="48" t="s">
        <v>82</v>
      </c>
      <c r="G43" s="200" t="s">
        <v>36</v>
      </c>
      <c r="H43" s="201"/>
      <c r="I43" s="201"/>
      <c r="J43" s="201"/>
      <c r="K43" s="201"/>
      <c r="L43" s="49">
        <f>20205+896+1084</f>
        <v>22185</v>
      </c>
      <c r="M43" s="49">
        <v>9895</v>
      </c>
      <c r="N43" s="49"/>
      <c r="O43" s="49"/>
      <c r="P43" s="54">
        <v>8088</v>
      </c>
      <c r="Q43" s="49"/>
      <c r="R43" s="49"/>
      <c r="S43" s="49">
        <v>0</v>
      </c>
      <c r="T43" s="49"/>
      <c r="U43" s="49">
        <v>0</v>
      </c>
      <c r="V43" s="49">
        <f>SUM(L43:U43)</f>
        <v>40168</v>
      </c>
    </row>
    <row r="44" spans="1:22">
      <c r="A44" s="210"/>
      <c r="B44" s="200"/>
      <c r="C44" s="59"/>
      <c r="D44" s="211" t="s">
        <v>98</v>
      </c>
      <c r="E44" s="209"/>
      <c r="F44" s="56"/>
      <c r="G44" s="56"/>
      <c r="H44" s="57"/>
      <c r="I44" s="57"/>
      <c r="J44" s="57"/>
      <c r="K44" s="57"/>
      <c r="L44" s="49"/>
      <c r="M44" s="49"/>
      <c r="N44" s="57"/>
      <c r="O44" s="49"/>
      <c r="P44" s="49"/>
      <c r="Q44" s="49"/>
      <c r="R44" s="49"/>
      <c r="S44" s="49"/>
      <c r="T44" s="49"/>
      <c r="U44" s="49"/>
      <c r="V44" s="49">
        <f t="shared" ref="V44:V49" si="8">SUM(L44:U44)</f>
        <v>0</v>
      </c>
    </row>
    <row r="45" spans="1:22">
      <c r="A45" s="210"/>
      <c r="B45" s="200"/>
      <c r="C45" s="59"/>
      <c r="D45" s="211" t="s">
        <v>100</v>
      </c>
      <c r="E45" s="211"/>
      <c r="F45" s="56"/>
      <c r="G45" s="56"/>
      <c r="H45" s="57"/>
      <c r="I45" s="57"/>
      <c r="J45" s="57"/>
      <c r="K45" s="57"/>
      <c r="L45" s="49"/>
      <c r="M45" s="49"/>
      <c r="N45" s="57"/>
      <c r="O45" s="49">
        <f>124561.72+131117.6+118389</f>
        <v>374068.32</v>
      </c>
      <c r="P45" s="49"/>
      <c r="Q45" s="49"/>
      <c r="R45" s="49"/>
      <c r="S45" s="49"/>
      <c r="T45" s="49"/>
      <c r="U45" s="49"/>
      <c r="V45" s="49">
        <f t="shared" si="8"/>
        <v>374068.32</v>
      </c>
    </row>
    <row r="46" spans="1:22" ht="21" customHeight="1">
      <c r="A46" s="206"/>
      <c r="B46" s="201"/>
      <c r="C46" s="59" t="s">
        <v>33</v>
      </c>
      <c r="D46" s="211" t="s">
        <v>83</v>
      </c>
      <c r="E46" s="209"/>
      <c r="F46" s="48" t="s">
        <v>84</v>
      </c>
      <c r="G46" s="200" t="s">
        <v>36</v>
      </c>
      <c r="H46" s="201"/>
      <c r="I46" s="201"/>
      <c r="J46" s="201"/>
      <c r="K46" s="201"/>
      <c r="L46" s="49">
        <f>20842+17810+16260</f>
        <v>54912</v>
      </c>
      <c r="M46" s="49"/>
      <c r="N46" s="49"/>
      <c r="O46" s="49"/>
      <c r="P46" s="54"/>
      <c r="Q46" s="49"/>
      <c r="R46" s="49"/>
      <c r="S46" s="49">
        <v>0</v>
      </c>
      <c r="T46" s="49"/>
      <c r="U46" s="49">
        <v>0</v>
      </c>
      <c r="V46" s="49">
        <f t="shared" si="8"/>
        <v>54912</v>
      </c>
    </row>
    <row r="47" spans="1:22">
      <c r="A47" s="206"/>
      <c r="B47" s="201"/>
      <c r="C47" s="209" t="s">
        <v>99</v>
      </c>
      <c r="D47" s="209"/>
      <c r="E47" s="209"/>
      <c r="F47" s="48"/>
      <c r="G47" s="56"/>
      <c r="H47" s="57"/>
      <c r="I47" s="57"/>
      <c r="J47" s="57"/>
      <c r="K47" s="57"/>
      <c r="L47" s="49"/>
      <c r="M47" s="49">
        <v>10800</v>
      </c>
      <c r="N47" s="57"/>
      <c r="O47" s="49"/>
      <c r="P47" s="49">
        <v>25270</v>
      </c>
      <c r="Q47" s="49"/>
      <c r="R47" s="49"/>
      <c r="S47" s="49"/>
      <c r="T47" s="49"/>
      <c r="U47" s="49"/>
      <c r="V47" s="49">
        <f t="shared" si="8"/>
        <v>36070</v>
      </c>
    </row>
    <row r="48" spans="1:22">
      <c r="A48" s="206"/>
      <c r="B48" s="201"/>
      <c r="C48" s="209" t="s">
        <v>112</v>
      </c>
      <c r="D48" s="209"/>
      <c r="E48" s="209"/>
      <c r="F48" s="48"/>
      <c r="G48" s="56"/>
      <c r="H48" s="57"/>
      <c r="I48" s="57"/>
      <c r="J48" s="57"/>
      <c r="K48" s="57"/>
      <c r="L48" s="49">
        <v>9056</v>
      </c>
      <c r="M48" s="49"/>
      <c r="N48" s="57"/>
      <c r="O48" s="49">
        <v>19900</v>
      </c>
      <c r="P48" s="49"/>
      <c r="Q48" s="49"/>
      <c r="R48" s="49"/>
      <c r="S48" s="49"/>
      <c r="T48" s="49"/>
      <c r="U48" s="49"/>
      <c r="V48" s="49">
        <f t="shared" si="8"/>
        <v>28956</v>
      </c>
    </row>
    <row r="49" spans="1:22">
      <c r="A49" s="206"/>
      <c r="B49" s="201"/>
      <c r="C49" s="60"/>
      <c r="D49" s="209" t="s">
        <v>113</v>
      </c>
      <c r="E49" s="209"/>
      <c r="F49" s="48"/>
      <c r="G49" s="56"/>
      <c r="H49" s="57"/>
      <c r="I49" s="57"/>
      <c r="J49" s="57"/>
      <c r="K49" s="57"/>
      <c r="L49" s="49">
        <v>34650</v>
      </c>
      <c r="M49" s="49"/>
      <c r="N49" s="57"/>
      <c r="O49" s="49"/>
      <c r="P49" s="49"/>
      <c r="Q49" s="49"/>
      <c r="R49" s="49"/>
      <c r="S49" s="49"/>
      <c r="T49" s="49"/>
      <c r="U49" s="49"/>
      <c r="V49" s="49">
        <f t="shared" si="8"/>
        <v>34650</v>
      </c>
    </row>
    <row r="50" spans="1:22">
      <c r="A50" s="206"/>
      <c r="B50" s="201"/>
      <c r="C50" s="204" t="s">
        <v>8</v>
      </c>
      <c r="D50" s="201"/>
      <c r="E50" s="201"/>
      <c r="F50" s="201"/>
      <c r="G50" s="201"/>
      <c r="H50" s="201"/>
      <c r="I50" s="201"/>
      <c r="J50" s="201"/>
      <c r="K50" s="201"/>
      <c r="L50" s="52">
        <f>SUM(L43:L49)</f>
        <v>120803</v>
      </c>
      <c r="M50" s="52">
        <f t="shared" ref="M50:V50" si="9">SUM(M43:M49)</f>
        <v>20695</v>
      </c>
      <c r="N50" s="52">
        <f t="shared" si="9"/>
        <v>0</v>
      </c>
      <c r="O50" s="52">
        <f t="shared" si="9"/>
        <v>393968.32</v>
      </c>
      <c r="P50" s="52">
        <f t="shared" si="9"/>
        <v>33358</v>
      </c>
      <c r="Q50" s="52">
        <f t="shared" si="9"/>
        <v>0</v>
      </c>
      <c r="R50" s="52">
        <f t="shared" si="9"/>
        <v>0</v>
      </c>
      <c r="S50" s="52">
        <f t="shared" si="9"/>
        <v>0</v>
      </c>
      <c r="T50" s="52">
        <f t="shared" si="9"/>
        <v>0</v>
      </c>
      <c r="U50" s="52">
        <f t="shared" si="9"/>
        <v>0</v>
      </c>
      <c r="V50" s="52">
        <f t="shared" si="9"/>
        <v>568824.32000000007</v>
      </c>
    </row>
    <row r="51" spans="1:22" ht="27" customHeight="1">
      <c r="A51" s="205" t="s">
        <v>33</v>
      </c>
      <c r="B51" s="200" t="s">
        <v>85</v>
      </c>
      <c r="C51" s="53" t="s">
        <v>33</v>
      </c>
      <c r="D51" s="200" t="s">
        <v>86</v>
      </c>
      <c r="E51" s="201"/>
      <c r="F51" s="48" t="s">
        <v>87</v>
      </c>
      <c r="G51" s="200" t="s">
        <v>36</v>
      </c>
      <c r="H51" s="201"/>
      <c r="I51" s="201"/>
      <c r="J51" s="201"/>
      <c r="K51" s="201"/>
      <c r="L51" s="49">
        <f>15516.05+10812.18+8571.93</f>
        <v>34900.160000000003</v>
      </c>
      <c r="M51" s="49"/>
      <c r="N51" s="49"/>
      <c r="O51" s="49">
        <v>0</v>
      </c>
      <c r="P51" s="49">
        <v>0</v>
      </c>
      <c r="Q51" s="49">
        <v>0</v>
      </c>
      <c r="R51" s="49"/>
      <c r="S51" s="49">
        <v>0</v>
      </c>
      <c r="T51" s="49"/>
      <c r="U51" s="49">
        <v>0</v>
      </c>
      <c r="V51" s="49">
        <f>SUM(L51:U51)</f>
        <v>34900.160000000003</v>
      </c>
    </row>
    <row r="52" spans="1:22" ht="27" customHeight="1">
      <c r="A52" s="206"/>
      <c r="B52" s="201"/>
      <c r="C52" s="53" t="s">
        <v>33</v>
      </c>
      <c r="D52" s="200" t="s">
        <v>88</v>
      </c>
      <c r="E52" s="201"/>
      <c r="F52" s="48" t="s">
        <v>89</v>
      </c>
      <c r="G52" s="200" t="s">
        <v>36</v>
      </c>
      <c r="H52" s="201"/>
      <c r="I52" s="201"/>
      <c r="J52" s="201"/>
      <c r="K52" s="201"/>
      <c r="L52" s="49">
        <f>12253.76+4016.33+7273.3</f>
        <v>23543.39</v>
      </c>
      <c r="M52" s="49"/>
      <c r="N52" s="49"/>
      <c r="O52" s="49">
        <v>0</v>
      </c>
      <c r="P52" s="49">
        <v>0</v>
      </c>
      <c r="Q52" s="49">
        <v>0</v>
      </c>
      <c r="R52" s="49"/>
      <c r="S52" s="49">
        <v>0</v>
      </c>
      <c r="T52" s="49"/>
      <c r="U52" s="49">
        <v>0</v>
      </c>
      <c r="V52" s="49">
        <f t="shared" ref="V52:V55" si="10">SUM(L52:U52)</f>
        <v>23543.39</v>
      </c>
    </row>
    <row r="53" spans="1:22" ht="27" customHeight="1">
      <c r="A53" s="206"/>
      <c r="B53" s="201"/>
      <c r="C53" s="53"/>
      <c r="D53" s="211" t="s">
        <v>114</v>
      </c>
      <c r="E53" s="211"/>
      <c r="F53" s="48"/>
      <c r="G53" s="56"/>
      <c r="H53" s="57"/>
      <c r="I53" s="57"/>
      <c r="J53" s="57"/>
      <c r="K53" s="57"/>
      <c r="L53" s="49"/>
      <c r="M53" s="49"/>
      <c r="N53" s="49"/>
      <c r="O53" s="49">
        <v>999</v>
      </c>
      <c r="P53" s="49"/>
      <c r="Q53" s="49"/>
      <c r="R53" s="49"/>
      <c r="S53" s="49"/>
      <c r="T53" s="49"/>
      <c r="U53" s="49"/>
      <c r="V53" s="49">
        <f t="shared" si="10"/>
        <v>999</v>
      </c>
    </row>
    <row r="54" spans="1:22" ht="27" customHeight="1">
      <c r="A54" s="206"/>
      <c r="B54" s="201"/>
      <c r="C54" s="53" t="s">
        <v>33</v>
      </c>
      <c r="D54" s="200" t="s">
        <v>90</v>
      </c>
      <c r="E54" s="201"/>
      <c r="F54" s="48" t="s">
        <v>91</v>
      </c>
      <c r="G54" s="200" t="s">
        <v>36</v>
      </c>
      <c r="H54" s="201"/>
      <c r="I54" s="201"/>
      <c r="J54" s="201"/>
      <c r="K54" s="201"/>
      <c r="L54" s="49">
        <f>491+3041+4793</f>
        <v>8325</v>
      </c>
      <c r="M54" s="49"/>
      <c r="N54" s="49"/>
      <c r="O54" s="49">
        <v>0</v>
      </c>
      <c r="P54" s="49">
        <v>0</v>
      </c>
      <c r="Q54" s="49">
        <v>0</v>
      </c>
      <c r="R54" s="49"/>
      <c r="S54" s="49">
        <v>0</v>
      </c>
      <c r="T54" s="49"/>
      <c r="U54" s="49">
        <v>0</v>
      </c>
      <c r="V54" s="49">
        <f t="shared" si="10"/>
        <v>8325</v>
      </c>
    </row>
    <row r="55" spans="1:22" ht="36" customHeight="1">
      <c r="A55" s="206"/>
      <c r="B55" s="201"/>
      <c r="C55" s="53" t="s">
        <v>33</v>
      </c>
      <c r="D55" s="200" t="s">
        <v>92</v>
      </c>
      <c r="E55" s="201"/>
      <c r="F55" s="48" t="s">
        <v>93</v>
      </c>
      <c r="G55" s="200" t="s">
        <v>36</v>
      </c>
      <c r="H55" s="201"/>
      <c r="I55" s="201"/>
      <c r="J55" s="201"/>
      <c r="K55" s="201"/>
      <c r="L55" s="49">
        <v>4000</v>
      </c>
      <c r="M55" s="49">
        <f>7490+3745</f>
        <v>11235</v>
      </c>
      <c r="N55" s="49"/>
      <c r="O55" s="49">
        <v>0</v>
      </c>
      <c r="P55" s="49">
        <v>0</v>
      </c>
      <c r="Q55" s="49">
        <v>0</v>
      </c>
      <c r="R55" s="49"/>
      <c r="S55" s="49">
        <v>0</v>
      </c>
      <c r="T55" s="49"/>
      <c r="U55" s="49">
        <v>0</v>
      </c>
      <c r="V55" s="49">
        <f t="shared" si="10"/>
        <v>15235</v>
      </c>
    </row>
    <row r="56" spans="1:22">
      <c r="A56" s="206"/>
      <c r="B56" s="201"/>
      <c r="C56" s="204" t="s">
        <v>8</v>
      </c>
      <c r="D56" s="201"/>
      <c r="E56" s="201"/>
      <c r="F56" s="201"/>
      <c r="G56" s="201"/>
      <c r="H56" s="201"/>
      <c r="I56" s="201"/>
      <c r="J56" s="201"/>
      <c r="K56" s="201"/>
      <c r="L56" s="52">
        <f>SUM(L51:L55)</f>
        <v>70768.55</v>
      </c>
      <c r="M56" s="52">
        <f t="shared" ref="M56:U56" si="11">SUM(M51:M55)</f>
        <v>11235</v>
      </c>
      <c r="N56" s="52">
        <f t="shared" si="11"/>
        <v>0</v>
      </c>
      <c r="O56" s="52">
        <f t="shared" si="11"/>
        <v>999</v>
      </c>
      <c r="P56" s="52">
        <f t="shared" si="11"/>
        <v>0</v>
      </c>
      <c r="Q56" s="52">
        <f t="shared" si="11"/>
        <v>0</v>
      </c>
      <c r="R56" s="52"/>
      <c r="S56" s="52">
        <f t="shared" si="11"/>
        <v>0</v>
      </c>
      <c r="T56" s="52"/>
      <c r="U56" s="52">
        <f t="shared" si="11"/>
        <v>0</v>
      </c>
      <c r="V56" s="52">
        <f>SUM(V51:V55)</f>
        <v>83002.55</v>
      </c>
    </row>
    <row r="57" spans="1:22" ht="30.75" customHeight="1">
      <c r="A57" s="205" t="s">
        <v>33</v>
      </c>
      <c r="B57" s="200" t="s">
        <v>94</v>
      </c>
      <c r="C57" s="53" t="s">
        <v>33</v>
      </c>
      <c r="D57" s="200" t="s">
        <v>95</v>
      </c>
      <c r="E57" s="201"/>
      <c r="F57" s="48" t="s">
        <v>96</v>
      </c>
      <c r="G57" s="200" t="s">
        <v>36</v>
      </c>
      <c r="H57" s="201"/>
      <c r="I57" s="201"/>
      <c r="J57" s="201"/>
      <c r="K57" s="201"/>
      <c r="L57" s="49">
        <v>50000</v>
      </c>
      <c r="M57" s="49"/>
      <c r="N57" s="49"/>
      <c r="O57" s="49">
        <v>842000</v>
      </c>
      <c r="P57" s="49"/>
      <c r="Q57" s="49">
        <v>0</v>
      </c>
      <c r="R57" s="49"/>
      <c r="S57" s="49">
        <v>50000</v>
      </c>
      <c r="T57" s="49"/>
      <c r="U57" s="49">
        <v>0</v>
      </c>
      <c r="V57" s="49">
        <f>SUM(L57:U57)</f>
        <v>942000</v>
      </c>
    </row>
    <row r="58" spans="1:22">
      <c r="A58" s="206"/>
      <c r="B58" s="201"/>
      <c r="C58" s="204" t="s">
        <v>8</v>
      </c>
      <c r="D58" s="201"/>
      <c r="E58" s="201"/>
      <c r="F58" s="201"/>
      <c r="G58" s="201"/>
      <c r="H58" s="201"/>
      <c r="I58" s="201"/>
      <c r="J58" s="201"/>
      <c r="K58" s="201"/>
      <c r="L58" s="52">
        <v>0</v>
      </c>
      <c r="M58" s="52">
        <v>0</v>
      </c>
      <c r="N58" s="52"/>
      <c r="O58" s="52">
        <v>844000</v>
      </c>
      <c r="P58" s="52">
        <v>0</v>
      </c>
      <c r="Q58" s="52">
        <v>0</v>
      </c>
      <c r="R58" s="52"/>
      <c r="S58" s="52">
        <v>0</v>
      </c>
      <c r="T58" s="52"/>
      <c r="U58" s="52">
        <v>0</v>
      </c>
      <c r="V58" s="52">
        <f>SUM(V57)</f>
        <v>942000</v>
      </c>
    </row>
    <row r="59" spans="1:22" ht="26.25" hidden="1" customHeight="1">
      <c r="A59" s="61" t="s">
        <v>33</v>
      </c>
      <c r="B59" s="218" t="s">
        <v>97</v>
      </c>
      <c r="C59" s="219"/>
      <c r="D59" s="220"/>
      <c r="E59" s="220"/>
      <c r="F59" s="219"/>
      <c r="G59" s="219"/>
      <c r="H59" s="219"/>
      <c r="I59" s="219"/>
      <c r="J59" s="219"/>
      <c r="K59" s="221"/>
      <c r="L59" s="62">
        <f t="shared" ref="L59:V59" si="12">+L20+L26+L33+L37+L42+L50+L56+L58</f>
        <v>2285669.59</v>
      </c>
      <c r="M59" s="62">
        <f t="shared" si="12"/>
        <v>447242</v>
      </c>
      <c r="N59" s="62">
        <f t="shared" si="12"/>
        <v>108240</v>
      </c>
      <c r="O59" s="62">
        <f t="shared" si="12"/>
        <v>1656057.32</v>
      </c>
      <c r="P59" s="62">
        <f t="shared" ca="1" si="12"/>
        <v>1401819.3599999999</v>
      </c>
      <c r="Q59" s="62">
        <f t="shared" si="12"/>
        <v>319530</v>
      </c>
      <c r="R59" s="62"/>
      <c r="S59" s="62">
        <f t="shared" si="12"/>
        <v>29000</v>
      </c>
      <c r="T59" s="62"/>
      <c r="U59" s="62">
        <f t="shared" si="12"/>
        <v>3011779</v>
      </c>
      <c r="V59" s="62">
        <f t="shared" si="12"/>
        <v>8441020.9100000001</v>
      </c>
    </row>
    <row r="60" spans="1:22" ht="21" customHeight="1">
      <c r="B60" s="215" t="s">
        <v>117</v>
      </c>
      <c r="D60" s="212" t="s">
        <v>115</v>
      </c>
      <c r="E60" s="212"/>
      <c r="L60" s="58"/>
      <c r="M60" s="58"/>
      <c r="N60" s="58"/>
      <c r="O60" s="58"/>
      <c r="P60" s="63">
        <v>97000</v>
      </c>
      <c r="Q60" s="58"/>
      <c r="R60" s="58"/>
      <c r="S60" s="58"/>
      <c r="T60" s="58"/>
      <c r="U60" s="58"/>
      <c r="V60" s="63">
        <f>SUM(L60:U60)</f>
        <v>97000</v>
      </c>
    </row>
    <row r="61" spans="1:22">
      <c r="B61" s="216"/>
      <c r="D61" s="212" t="s">
        <v>118</v>
      </c>
      <c r="E61" s="212"/>
      <c r="L61" s="58"/>
      <c r="M61" s="58"/>
      <c r="N61" s="58"/>
      <c r="O61" s="58"/>
      <c r="P61" s="63">
        <v>9000</v>
      </c>
      <c r="Q61" s="58"/>
      <c r="R61" s="58"/>
      <c r="S61" s="58"/>
      <c r="T61" s="58"/>
      <c r="U61" s="58"/>
      <c r="V61" s="63">
        <f t="shared" ref="V61:V62" si="13">SUM(L61:U61)</f>
        <v>9000</v>
      </c>
    </row>
    <row r="62" spans="1:22">
      <c r="B62" s="216"/>
      <c r="D62" s="213" t="s">
        <v>116</v>
      </c>
      <c r="E62" s="213"/>
      <c r="L62" s="63">
        <v>61870</v>
      </c>
      <c r="M62" s="63">
        <v>32100</v>
      </c>
      <c r="N62" s="63">
        <v>31890</v>
      </c>
      <c r="O62" s="58"/>
      <c r="P62" s="63">
        <v>91700</v>
      </c>
      <c r="Q62" s="58"/>
      <c r="R62" s="58"/>
      <c r="S62" s="58"/>
      <c r="T62" s="58"/>
      <c r="U62" s="58"/>
      <c r="V62" s="63">
        <f t="shared" si="13"/>
        <v>217560</v>
      </c>
    </row>
    <row r="63" spans="1:22" s="71" customFormat="1">
      <c r="B63" s="217"/>
      <c r="C63" s="72"/>
      <c r="D63" s="214" t="s">
        <v>8</v>
      </c>
      <c r="E63" s="214"/>
      <c r="L63" s="73">
        <f>SUM(L60:L62)</f>
        <v>61870</v>
      </c>
      <c r="M63" s="73">
        <f t="shared" ref="M63:U63" si="14">SUM(M60:M62)</f>
        <v>32100</v>
      </c>
      <c r="N63" s="73">
        <f t="shared" si="14"/>
        <v>31890</v>
      </c>
      <c r="O63" s="73">
        <f t="shared" si="14"/>
        <v>0</v>
      </c>
      <c r="P63" s="73">
        <f t="shared" si="14"/>
        <v>197700</v>
      </c>
      <c r="Q63" s="73">
        <f t="shared" si="14"/>
        <v>0</v>
      </c>
      <c r="R63" s="73">
        <f t="shared" si="14"/>
        <v>0</v>
      </c>
      <c r="S63" s="73">
        <f t="shared" si="14"/>
        <v>0</v>
      </c>
      <c r="T63" s="73">
        <f t="shared" si="14"/>
        <v>0</v>
      </c>
      <c r="U63" s="73">
        <f t="shared" si="14"/>
        <v>0</v>
      </c>
      <c r="V63" s="73">
        <f>SUM(V60:V62)</f>
        <v>323560</v>
      </c>
    </row>
    <row r="64" spans="1:22">
      <c r="B64" s="171" t="s">
        <v>119</v>
      </c>
      <c r="C64" s="172"/>
      <c r="D64" s="172"/>
      <c r="E64" s="173"/>
      <c r="L64" s="74">
        <f t="shared" ref="L64:U64" si="15">+L63+L58+L56+L50+L42+L37+L33+L26+L20</f>
        <v>2347539.59</v>
      </c>
      <c r="M64" s="74">
        <f>+M63+M58+M56+M50+M42+M37+M33+M26+M20</f>
        <v>479342</v>
      </c>
      <c r="N64" s="74">
        <f t="shared" si="15"/>
        <v>140130</v>
      </c>
      <c r="O64" s="74">
        <f t="shared" si="15"/>
        <v>1656057.32</v>
      </c>
      <c r="P64" s="74">
        <f t="shared" ca="1" si="15"/>
        <v>8764580.9100000001</v>
      </c>
      <c r="Q64" s="74">
        <f t="shared" si="15"/>
        <v>319530</v>
      </c>
      <c r="R64" s="74">
        <f t="shared" si="15"/>
        <v>86670</v>
      </c>
      <c r="S64" s="74">
        <f t="shared" si="15"/>
        <v>29000</v>
      </c>
      <c r="T64" s="74">
        <f t="shared" si="15"/>
        <v>68750</v>
      </c>
      <c r="U64" s="74">
        <f t="shared" si="15"/>
        <v>3011779</v>
      </c>
      <c r="V64" s="74">
        <f>+V63+V58+V56+V50+V42+V37+V33+V26+V20</f>
        <v>8764580.9100000001</v>
      </c>
    </row>
  </sheetData>
  <mergeCells count="126">
    <mergeCell ref="D60:E60"/>
    <mergeCell ref="D61:E61"/>
    <mergeCell ref="D62:E62"/>
    <mergeCell ref="D63:E63"/>
    <mergeCell ref="B60:B63"/>
    <mergeCell ref="D53:E53"/>
    <mergeCell ref="B59:K59"/>
    <mergeCell ref="D36:E36"/>
    <mergeCell ref="D40:E40"/>
    <mergeCell ref="D41:E41"/>
    <mergeCell ref="D44:E44"/>
    <mergeCell ref="D45:E45"/>
    <mergeCell ref="D46:E46"/>
    <mergeCell ref="G46:K46"/>
    <mergeCell ref="C47:E47"/>
    <mergeCell ref="C50:K50"/>
    <mergeCell ref="R7:S7"/>
    <mergeCell ref="R10:R12"/>
    <mergeCell ref="C48:E48"/>
    <mergeCell ref="D49:E49"/>
    <mergeCell ref="C56:K56"/>
    <mergeCell ref="A57:A58"/>
    <mergeCell ref="B57:B58"/>
    <mergeCell ref="D57:E57"/>
    <mergeCell ref="G57:K57"/>
    <mergeCell ref="C58:K58"/>
    <mergeCell ref="A51:A56"/>
    <mergeCell ref="B51:B56"/>
    <mergeCell ref="D51:E51"/>
    <mergeCell ref="G51:K51"/>
    <mergeCell ref="D52:E52"/>
    <mergeCell ref="G52:K52"/>
    <mergeCell ref="D54:E54"/>
    <mergeCell ref="G54:K54"/>
    <mergeCell ref="D55:E55"/>
    <mergeCell ref="G55:K55"/>
    <mergeCell ref="A43:A50"/>
    <mergeCell ref="B43:B50"/>
    <mergeCell ref="D43:E43"/>
    <mergeCell ref="G43:K43"/>
    <mergeCell ref="A38:A42"/>
    <mergeCell ref="B38:B42"/>
    <mergeCell ref="D38:E38"/>
    <mergeCell ref="G38:K38"/>
    <mergeCell ref="D39:E39"/>
    <mergeCell ref="G39:K39"/>
    <mergeCell ref="C42:K42"/>
    <mergeCell ref="A34:A37"/>
    <mergeCell ref="B34:B37"/>
    <mergeCell ref="D34:E34"/>
    <mergeCell ref="G34:K34"/>
    <mergeCell ref="D35:E35"/>
    <mergeCell ref="G35:K35"/>
    <mergeCell ref="C37:K37"/>
    <mergeCell ref="C33:K33"/>
    <mergeCell ref="C26:K26"/>
    <mergeCell ref="A27:A33"/>
    <mergeCell ref="B27:B33"/>
    <mergeCell ref="D27:E27"/>
    <mergeCell ref="G27:K27"/>
    <mergeCell ref="D28:E28"/>
    <mergeCell ref="G28:K28"/>
    <mergeCell ref="D29:E29"/>
    <mergeCell ref="G29:K29"/>
    <mergeCell ref="D30:E30"/>
    <mergeCell ref="A21:A26"/>
    <mergeCell ref="D23:E23"/>
    <mergeCell ref="G23:K23"/>
    <mergeCell ref="D24:E24"/>
    <mergeCell ref="G24:K24"/>
    <mergeCell ref="D25:E25"/>
    <mergeCell ref="G25:K25"/>
    <mergeCell ref="B21:B26"/>
    <mergeCell ref="D21:E21"/>
    <mergeCell ref="G21:K21"/>
    <mergeCell ref="D22:E22"/>
    <mergeCell ref="G22:K22"/>
    <mergeCell ref="G30:K30"/>
    <mergeCell ref="D31:E31"/>
    <mergeCell ref="G31:K31"/>
    <mergeCell ref="D32:E32"/>
    <mergeCell ref="G32:K32"/>
    <mergeCell ref="M13:M14"/>
    <mergeCell ref="N13:N14"/>
    <mergeCell ref="O13:O14"/>
    <mergeCell ref="P13:P14"/>
    <mergeCell ref="Q13:Q14"/>
    <mergeCell ref="S13:S14"/>
    <mergeCell ref="U13:U14"/>
    <mergeCell ref="A15:A20"/>
    <mergeCell ref="B15:B19"/>
    <mergeCell ref="D15:E15"/>
    <mergeCell ref="G15:K15"/>
    <mergeCell ref="D16:E16"/>
    <mergeCell ref="G16:K16"/>
    <mergeCell ref="D17:E17"/>
    <mergeCell ref="G17:K17"/>
    <mergeCell ref="D18:E18"/>
    <mergeCell ref="G18:K18"/>
    <mergeCell ref="D19:E19"/>
    <mergeCell ref="G19:K19"/>
    <mergeCell ref="B20:K20"/>
    <mergeCell ref="B64:E64"/>
    <mergeCell ref="A1:H1"/>
    <mergeCell ref="A3:V3"/>
    <mergeCell ref="A4:V4"/>
    <mergeCell ref="A5:V5"/>
    <mergeCell ref="L7:M7"/>
    <mergeCell ref="N7:O7"/>
    <mergeCell ref="V7:V14"/>
    <mergeCell ref="L8:M9"/>
    <mergeCell ref="P8:P9"/>
    <mergeCell ref="S8:S9"/>
    <mergeCell ref="U8:U9"/>
    <mergeCell ref="H9:J10"/>
    <mergeCell ref="N9:O9"/>
    <mergeCell ref="L10:L12"/>
    <mergeCell ref="M10:M12"/>
    <mergeCell ref="N10:N12"/>
    <mergeCell ref="O10:O12"/>
    <mergeCell ref="P10:P12"/>
    <mergeCell ref="Q10:Q12"/>
    <mergeCell ref="S10:S12"/>
    <mergeCell ref="U10:U12"/>
    <mergeCell ref="A11:E13"/>
    <mergeCell ref="L13:L14"/>
  </mergeCells>
  <pageMargins left="0.39370078740157483" right="0.23622047244094491" top="0.27559055118110237" bottom="0.31496062992125984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73"/>
  <sheetViews>
    <sheetView tabSelected="1" topLeftCell="A6" workbookViewId="0">
      <selection activeCell="O15" sqref="O15"/>
    </sheetView>
  </sheetViews>
  <sheetFormatPr defaultRowHeight="15.75"/>
  <cols>
    <col min="1" max="1" width="0.125" style="69" customWidth="1"/>
    <col min="2" max="2" width="5.5" style="69" customWidth="1"/>
    <col min="3" max="3" width="0.375" style="69" hidden="1" customWidth="1"/>
    <col min="4" max="4" width="1.625" style="69" customWidth="1"/>
    <col min="5" max="5" width="9" style="69" customWidth="1"/>
    <col min="6" max="6" width="7.125" style="69" hidden="1" customWidth="1"/>
    <col min="7" max="7" width="1.5" style="69" hidden="1" customWidth="1"/>
    <col min="8" max="8" width="2.625" style="69" hidden="1" customWidth="1"/>
    <col min="9" max="9" width="0.75" style="69" hidden="1" customWidth="1"/>
    <col min="10" max="10" width="5" style="69" hidden="1" customWidth="1"/>
    <col min="11" max="11" width="0.125" style="69" customWidth="1"/>
    <col min="12" max="12" width="10.25" style="69" customWidth="1"/>
    <col min="13" max="13" width="9.375" style="69" customWidth="1"/>
    <col min="14" max="14" width="7.75" style="83" customWidth="1"/>
    <col min="15" max="15" width="8.75" style="69" customWidth="1"/>
    <col min="16" max="16" width="10.125" style="69" customWidth="1"/>
    <col min="17" max="17" width="9.875" style="69" customWidth="1"/>
    <col min="18" max="18" width="8.75" style="83" customWidth="1"/>
    <col min="19" max="19" width="8.375" style="69" customWidth="1"/>
    <col min="20" max="20" width="8.75" style="69" customWidth="1"/>
    <col min="21" max="21" width="8.625" style="69" customWidth="1"/>
    <col min="22" max="22" width="8" style="69" customWidth="1"/>
    <col min="23" max="23" width="9.875" style="69" customWidth="1"/>
    <col min="24" max="24" width="9.75" style="69" customWidth="1"/>
    <col min="25" max="16384" width="9" style="69"/>
  </cols>
  <sheetData>
    <row r="1" spans="1:24" hidden="1">
      <c r="A1" s="174"/>
      <c r="B1" s="175"/>
      <c r="C1" s="175"/>
      <c r="D1" s="175"/>
      <c r="E1" s="175"/>
      <c r="F1" s="175"/>
      <c r="G1" s="175"/>
      <c r="H1" s="175"/>
    </row>
    <row r="2" spans="1:24" ht="15.4" hidden="1" customHeight="1"/>
    <row r="3" spans="1:24" ht="21.2" customHeight="1">
      <c r="A3" s="120" t="s">
        <v>0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</row>
    <row r="4" spans="1:24" ht="21.2" customHeight="1">
      <c r="A4" s="120" t="s">
        <v>1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</row>
    <row r="5" spans="1:24" ht="27" customHeight="1">
      <c r="A5" s="121" t="s">
        <v>120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</row>
    <row r="6" spans="1:24" ht="3.2" customHeight="1"/>
    <row r="7" spans="1:24" ht="63">
      <c r="A7" s="36"/>
      <c r="B7" s="37"/>
      <c r="C7" s="37"/>
      <c r="D7" s="37"/>
      <c r="E7" s="37"/>
      <c r="F7" s="37"/>
      <c r="G7" s="37"/>
      <c r="H7" s="37"/>
      <c r="I7" s="37"/>
      <c r="J7" s="37"/>
      <c r="K7" s="38"/>
      <c r="L7" s="178" t="s">
        <v>2</v>
      </c>
      <c r="M7" s="179"/>
      <c r="N7" s="37" t="s">
        <v>135</v>
      </c>
      <c r="O7" s="180" t="s">
        <v>3</v>
      </c>
      <c r="P7" s="181"/>
      <c r="Q7" s="226" t="s">
        <v>4</v>
      </c>
      <c r="R7" s="227"/>
      <c r="S7" s="77" t="s">
        <v>5</v>
      </c>
      <c r="T7" s="207" t="s">
        <v>6</v>
      </c>
      <c r="U7" s="208"/>
      <c r="V7" s="78" t="s">
        <v>108</v>
      </c>
      <c r="W7" s="77" t="s">
        <v>7</v>
      </c>
      <c r="X7" s="182" t="s">
        <v>8</v>
      </c>
    </row>
    <row r="8" spans="1:24" ht="18.75" hidden="1" customHeight="1">
      <c r="A8" s="65"/>
      <c r="B8" s="68"/>
      <c r="C8" s="68"/>
      <c r="D8" s="68"/>
      <c r="E8" s="68"/>
      <c r="F8" s="68"/>
      <c r="G8" s="68"/>
      <c r="H8" s="68"/>
      <c r="I8" s="68"/>
      <c r="J8" s="68"/>
      <c r="K8" s="41"/>
      <c r="L8" s="182" t="s">
        <v>9</v>
      </c>
      <c r="M8" s="183"/>
      <c r="N8" s="85"/>
      <c r="O8" s="79"/>
      <c r="P8" s="80"/>
      <c r="Q8" s="81" t="s">
        <v>11</v>
      </c>
      <c r="R8" s="84"/>
      <c r="S8" s="81" t="s">
        <v>12</v>
      </c>
      <c r="T8" s="70"/>
      <c r="U8" s="178" t="s">
        <v>13</v>
      </c>
      <c r="V8" s="77"/>
      <c r="W8" s="182" t="s">
        <v>14</v>
      </c>
      <c r="X8" s="141"/>
    </row>
    <row r="9" spans="1:24">
      <c r="A9" s="65"/>
      <c r="B9" s="68"/>
      <c r="C9" s="68"/>
      <c r="D9" s="68"/>
      <c r="E9" s="68"/>
      <c r="F9" s="68"/>
      <c r="G9" s="68"/>
      <c r="H9" s="187" t="s">
        <v>15</v>
      </c>
      <c r="I9" s="188"/>
      <c r="J9" s="188"/>
      <c r="K9" s="41"/>
      <c r="L9" s="184"/>
      <c r="M9" s="185"/>
      <c r="N9" s="82" t="s">
        <v>125</v>
      </c>
      <c r="O9" s="189" t="s">
        <v>10</v>
      </c>
      <c r="P9" s="189"/>
      <c r="Q9" s="228" t="s">
        <v>11</v>
      </c>
      <c r="R9" s="229"/>
      <c r="S9" s="82" t="s">
        <v>12</v>
      </c>
      <c r="T9" s="76" t="s">
        <v>106</v>
      </c>
      <c r="U9" s="186"/>
      <c r="V9" s="75" t="s">
        <v>109</v>
      </c>
      <c r="W9" s="184"/>
      <c r="X9" s="141"/>
    </row>
    <row r="10" spans="1:24" ht="14.25" customHeight="1">
      <c r="A10" s="65"/>
      <c r="B10" s="68"/>
      <c r="C10" s="68"/>
      <c r="D10" s="68"/>
      <c r="E10" s="68"/>
      <c r="F10" s="68"/>
      <c r="G10" s="68"/>
      <c r="H10" s="188"/>
      <c r="I10" s="188"/>
      <c r="J10" s="188"/>
      <c r="K10" s="41"/>
      <c r="L10" s="140" t="s">
        <v>16</v>
      </c>
      <c r="M10" s="140" t="s">
        <v>17</v>
      </c>
      <c r="N10" s="143" t="s">
        <v>123</v>
      </c>
      <c r="O10" s="143" t="s">
        <v>18</v>
      </c>
      <c r="P10" s="140" t="s">
        <v>19</v>
      </c>
      <c r="Q10" s="234" t="s">
        <v>20</v>
      </c>
      <c r="R10" s="87"/>
      <c r="S10" s="140" t="s">
        <v>21</v>
      </c>
      <c r="T10" s="143" t="s">
        <v>107</v>
      </c>
      <c r="U10" s="140" t="s">
        <v>22</v>
      </c>
      <c r="V10" s="64"/>
      <c r="W10" s="140" t="s">
        <v>23</v>
      </c>
      <c r="X10" s="141"/>
    </row>
    <row r="11" spans="1:24" ht="31.5">
      <c r="A11" s="190" t="s">
        <v>24</v>
      </c>
      <c r="B11" s="191"/>
      <c r="C11" s="191"/>
      <c r="D11" s="191"/>
      <c r="E11" s="191"/>
      <c r="F11" s="68"/>
      <c r="G11" s="68"/>
      <c r="H11" s="68"/>
      <c r="I11" s="68"/>
      <c r="J11" s="68"/>
      <c r="K11" s="41"/>
      <c r="L11" s="141"/>
      <c r="M11" s="141"/>
      <c r="N11" s="144"/>
      <c r="O11" s="144"/>
      <c r="P11" s="141"/>
      <c r="Q11" s="235"/>
      <c r="R11" s="232" t="s">
        <v>127</v>
      </c>
      <c r="S11" s="141"/>
      <c r="T11" s="144"/>
      <c r="U11" s="141"/>
      <c r="V11" s="33" t="s">
        <v>110</v>
      </c>
      <c r="W11" s="141"/>
      <c r="X11" s="141"/>
    </row>
    <row r="12" spans="1:24" ht="20.25" customHeight="1">
      <c r="A12" s="190"/>
      <c r="B12" s="191"/>
      <c r="C12" s="191"/>
      <c r="D12" s="191"/>
      <c r="E12" s="191"/>
      <c r="F12" s="68"/>
      <c r="G12" s="68"/>
      <c r="H12" s="68"/>
      <c r="I12" s="68"/>
      <c r="J12" s="68"/>
      <c r="K12" s="41"/>
      <c r="L12" s="142"/>
      <c r="M12" s="142"/>
      <c r="N12" s="145"/>
      <c r="O12" s="145"/>
      <c r="P12" s="142"/>
      <c r="Q12" s="236"/>
      <c r="R12" s="233"/>
      <c r="S12" s="142"/>
      <c r="T12" s="145"/>
      <c r="U12" s="142"/>
      <c r="V12" s="66"/>
      <c r="W12" s="142"/>
      <c r="X12" s="141"/>
    </row>
    <row r="13" spans="1:24" ht="18.75" hidden="1" customHeight="1">
      <c r="A13" s="190"/>
      <c r="B13" s="191"/>
      <c r="C13" s="191"/>
      <c r="D13" s="191"/>
      <c r="E13" s="191"/>
      <c r="F13" s="68"/>
      <c r="G13" s="68"/>
      <c r="H13" s="68"/>
      <c r="I13" s="68"/>
      <c r="J13" s="68"/>
      <c r="K13" s="41"/>
      <c r="L13" s="192" t="s">
        <v>25</v>
      </c>
      <c r="M13" s="192" t="s">
        <v>26</v>
      </c>
      <c r="N13" s="88"/>
      <c r="O13" s="193" t="s">
        <v>27</v>
      </c>
      <c r="P13" s="192" t="s">
        <v>28</v>
      </c>
      <c r="Q13" s="192" t="s">
        <v>29</v>
      </c>
      <c r="R13" s="86"/>
      <c r="S13" s="192" t="s">
        <v>30</v>
      </c>
      <c r="T13" s="67"/>
      <c r="U13" s="192" t="s">
        <v>31</v>
      </c>
      <c r="V13" s="67"/>
      <c r="W13" s="192" t="s">
        <v>32</v>
      </c>
      <c r="X13" s="141"/>
    </row>
    <row r="14" spans="1:24">
      <c r="A14" s="43"/>
      <c r="B14" s="44"/>
      <c r="C14" s="44"/>
      <c r="D14" s="68"/>
      <c r="E14" s="68"/>
      <c r="F14" s="68"/>
      <c r="G14" s="68"/>
      <c r="H14" s="68"/>
      <c r="I14" s="68"/>
      <c r="J14" s="68"/>
      <c r="K14" s="41"/>
      <c r="L14" s="141"/>
      <c r="M14" s="141"/>
      <c r="N14" s="46" t="s">
        <v>124</v>
      </c>
      <c r="O14" s="194"/>
      <c r="P14" s="141"/>
      <c r="Q14" s="162"/>
      <c r="R14" s="90" t="s">
        <v>134</v>
      </c>
      <c r="S14" s="141"/>
      <c r="T14" s="45" t="s">
        <v>106</v>
      </c>
      <c r="U14" s="141"/>
      <c r="V14" s="46" t="s">
        <v>111</v>
      </c>
      <c r="W14" s="141"/>
      <c r="X14" s="141"/>
    </row>
    <row r="15" spans="1:24" s="94" customFormat="1" ht="18.75" customHeight="1">
      <c r="A15" s="237" t="s">
        <v>33</v>
      </c>
      <c r="B15" s="240" t="s">
        <v>23</v>
      </c>
      <c r="C15" s="91" t="s">
        <v>33</v>
      </c>
      <c r="D15" s="222" t="s">
        <v>34</v>
      </c>
      <c r="E15" s="223"/>
      <c r="F15" s="92" t="s">
        <v>35</v>
      </c>
      <c r="G15" s="222" t="s">
        <v>36</v>
      </c>
      <c r="H15" s="223"/>
      <c r="I15" s="223"/>
      <c r="J15" s="223"/>
      <c r="K15" s="223"/>
      <c r="L15" s="93">
        <v>0</v>
      </c>
      <c r="M15" s="93">
        <v>0</v>
      </c>
      <c r="N15" s="93"/>
      <c r="O15" s="93"/>
      <c r="P15" s="93">
        <v>0</v>
      </c>
      <c r="Q15" s="93">
        <v>0</v>
      </c>
      <c r="R15" s="93"/>
      <c r="S15" s="93">
        <v>0</v>
      </c>
      <c r="T15" s="93"/>
      <c r="U15" s="93">
        <v>0</v>
      </c>
      <c r="V15" s="93"/>
      <c r="W15" s="93">
        <f>10431+10431+12431</f>
        <v>33293</v>
      </c>
      <c r="X15" s="93">
        <f>SUM(L15:W15)</f>
        <v>33293</v>
      </c>
    </row>
    <row r="16" spans="1:24" s="94" customFormat="1" ht="18.75" customHeight="1">
      <c r="A16" s="238"/>
      <c r="B16" s="241"/>
      <c r="C16" s="91" t="s">
        <v>33</v>
      </c>
      <c r="D16" s="222" t="s">
        <v>37</v>
      </c>
      <c r="E16" s="223"/>
      <c r="F16" s="92" t="s">
        <v>38</v>
      </c>
      <c r="G16" s="222" t="s">
        <v>36</v>
      </c>
      <c r="H16" s="223"/>
      <c r="I16" s="223"/>
      <c r="J16" s="223"/>
      <c r="K16" s="223"/>
      <c r="L16" s="93">
        <v>0</v>
      </c>
      <c r="M16" s="93">
        <v>0</v>
      </c>
      <c r="N16" s="93"/>
      <c r="O16" s="93"/>
      <c r="P16" s="93">
        <v>0</v>
      </c>
      <c r="Q16" s="93">
        <v>0</v>
      </c>
      <c r="R16" s="93"/>
      <c r="S16" s="93">
        <v>0</v>
      </c>
      <c r="T16" s="93"/>
      <c r="U16" s="93">
        <v>0</v>
      </c>
      <c r="V16" s="93"/>
      <c r="W16" s="93">
        <f>738500+737900+737300</f>
        <v>2213700</v>
      </c>
      <c r="X16" s="93">
        <f t="shared" ref="X16:X20" si="0">SUM(L16:W16)</f>
        <v>2213700</v>
      </c>
    </row>
    <row r="17" spans="1:24" s="94" customFormat="1" ht="18.75" customHeight="1">
      <c r="A17" s="238"/>
      <c r="B17" s="241"/>
      <c r="C17" s="91" t="s">
        <v>33</v>
      </c>
      <c r="D17" s="222" t="s">
        <v>39</v>
      </c>
      <c r="E17" s="223"/>
      <c r="F17" s="92" t="s">
        <v>40</v>
      </c>
      <c r="G17" s="222" t="s">
        <v>36</v>
      </c>
      <c r="H17" s="223"/>
      <c r="I17" s="223"/>
      <c r="J17" s="223"/>
      <c r="K17" s="223"/>
      <c r="L17" s="93">
        <v>0</v>
      </c>
      <c r="M17" s="93">
        <v>0</v>
      </c>
      <c r="N17" s="93"/>
      <c r="O17" s="93"/>
      <c r="P17" s="93">
        <v>0</v>
      </c>
      <c r="Q17" s="93">
        <v>0</v>
      </c>
      <c r="R17" s="93"/>
      <c r="S17" s="93">
        <v>0</v>
      </c>
      <c r="T17" s="93"/>
      <c r="U17" s="93">
        <v>0</v>
      </c>
      <c r="V17" s="93"/>
      <c r="W17" s="93">
        <f>225600+235200+234400</f>
        <v>695200</v>
      </c>
      <c r="X17" s="93">
        <f t="shared" si="0"/>
        <v>695200</v>
      </c>
    </row>
    <row r="18" spans="1:24" s="94" customFormat="1" ht="18.75" customHeight="1">
      <c r="A18" s="238"/>
      <c r="B18" s="241"/>
      <c r="C18" s="91" t="s">
        <v>33</v>
      </c>
      <c r="D18" s="222" t="s">
        <v>41</v>
      </c>
      <c r="E18" s="223"/>
      <c r="F18" s="92" t="s">
        <v>42</v>
      </c>
      <c r="G18" s="222" t="s">
        <v>36</v>
      </c>
      <c r="H18" s="223"/>
      <c r="I18" s="223"/>
      <c r="J18" s="223"/>
      <c r="K18" s="223"/>
      <c r="L18" s="93">
        <v>0</v>
      </c>
      <c r="M18" s="93">
        <v>0</v>
      </c>
      <c r="N18" s="93"/>
      <c r="O18" s="93"/>
      <c r="P18" s="93">
        <v>0</v>
      </c>
      <c r="Q18" s="93">
        <v>0</v>
      </c>
      <c r="R18" s="93"/>
      <c r="S18" s="93">
        <v>0</v>
      </c>
      <c r="T18" s="93"/>
      <c r="U18" s="93">
        <v>0</v>
      </c>
      <c r="V18" s="93"/>
      <c r="W18" s="93">
        <f>27500+27500+27500</f>
        <v>82500</v>
      </c>
      <c r="X18" s="93">
        <f t="shared" si="0"/>
        <v>82500</v>
      </c>
    </row>
    <row r="19" spans="1:24" s="94" customFormat="1" ht="18.75" customHeight="1">
      <c r="A19" s="238"/>
      <c r="B19" s="241"/>
      <c r="C19" s="95"/>
      <c r="D19" s="254" t="s">
        <v>121</v>
      </c>
      <c r="E19" s="255"/>
      <c r="F19" s="96"/>
      <c r="G19" s="97"/>
      <c r="H19" s="98"/>
      <c r="I19" s="98"/>
      <c r="J19" s="98"/>
      <c r="K19" s="98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>
        <f>1395+17550</f>
        <v>18945</v>
      </c>
      <c r="X19" s="93"/>
    </row>
    <row r="20" spans="1:24" s="94" customFormat="1" ht="18.75" customHeight="1">
      <c r="A20" s="238"/>
      <c r="B20" s="241"/>
      <c r="C20" s="95" t="s">
        <v>33</v>
      </c>
      <c r="D20" s="242" t="s">
        <v>43</v>
      </c>
      <c r="E20" s="243"/>
      <c r="F20" s="96" t="s">
        <v>44</v>
      </c>
      <c r="G20" s="242" t="s">
        <v>36</v>
      </c>
      <c r="H20" s="243"/>
      <c r="I20" s="243"/>
      <c r="J20" s="243"/>
      <c r="K20" s="243"/>
      <c r="L20" s="93">
        <v>0</v>
      </c>
      <c r="M20" s="93">
        <v>0</v>
      </c>
      <c r="N20" s="93"/>
      <c r="O20" s="93"/>
      <c r="P20" s="93">
        <v>0</v>
      </c>
      <c r="Q20" s="93">
        <v>0</v>
      </c>
      <c r="R20" s="93"/>
      <c r="S20" s="93">
        <v>0</v>
      </c>
      <c r="T20" s="93"/>
      <c r="U20" s="93">
        <v>0</v>
      </c>
      <c r="V20" s="93"/>
      <c r="W20" s="93">
        <v>170000</v>
      </c>
      <c r="X20" s="93">
        <f t="shared" si="0"/>
        <v>170000</v>
      </c>
    </row>
    <row r="21" spans="1:24" s="94" customFormat="1" ht="18.75" customHeight="1">
      <c r="A21" s="239"/>
      <c r="B21" s="244" t="s">
        <v>8</v>
      </c>
      <c r="C21" s="223"/>
      <c r="D21" s="223"/>
      <c r="E21" s="223"/>
      <c r="F21" s="223"/>
      <c r="G21" s="223"/>
      <c r="H21" s="223"/>
      <c r="I21" s="223"/>
      <c r="J21" s="223"/>
      <c r="K21" s="223"/>
      <c r="L21" s="99">
        <f>SUM(L15:L20)</f>
        <v>0</v>
      </c>
      <c r="M21" s="99">
        <v>0</v>
      </c>
      <c r="N21" s="99"/>
      <c r="O21" s="99"/>
      <c r="P21" s="99">
        <v>0</v>
      </c>
      <c r="Q21" s="99">
        <v>0</v>
      </c>
      <c r="R21" s="99"/>
      <c r="S21" s="99">
        <v>0</v>
      </c>
      <c r="T21" s="99"/>
      <c r="U21" s="99">
        <v>0</v>
      </c>
      <c r="V21" s="99"/>
      <c r="W21" s="99">
        <f>SUM(W15:W20)</f>
        <v>3213638</v>
      </c>
      <c r="X21" s="99">
        <f>SUM(X15:X20)</f>
        <v>3194693</v>
      </c>
    </row>
    <row r="22" spans="1:24" s="94" customFormat="1" ht="35.25" customHeight="1">
      <c r="A22" s="245" t="s">
        <v>33</v>
      </c>
      <c r="B22" s="222" t="s">
        <v>45</v>
      </c>
      <c r="C22" s="100" t="s">
        <v>33</v>
      </c>
      <c r="D22" s="222" t="s">
        <v>46</v>
      </c>
      <c r="E22" s="223"/>
      <c r="F22" s="92" t="s">
        <v>47</v>
      </c>
      <c r="G22" s="222" t="s">
        <v>36</v>
      </c>
      <c r="H22" s="223"/>
      <c r="I22" s="223"/>
      <c r="J22" s="223"/>
      <c r="K22" s="223"/>
      <c r="L22" s="93">
        <f>57960+57960+57960</f>
        <v>173880</v>
      </c>
      <c r="M22" s="93">
        <v>0</v>
      </c>
      <c r="N22" s="93"/>
      <c r="O22" s="93"/>
      <c r="P22" s="93">
        <v>0</v>
      </c>
      <c r="Q22" s="93">
        <v>0</v>
      </c>
      <c r="R22" s="93"/>
      <c r="S22" s="93">
        <v>0</v>
      </c>
      <c r="T22" s="93"/>
      <c r="U22" s="93">
        <v>0</v>
      </c>
      <c r="V22" s="93"/>
      <c r="W22" s="93">
        <v>0</v>
      </c>
      <c r="X22" s="93">
        <f>SUM(L22:W22)</f>
        <v>173880</v>
      </c>
    </row>
    <row r="23" spans="1:24" s="94" customFormat="1" ht="35.25" customHeight="1">
      <c r="A23" s="246"/>
      <c r="B23" s="223"/>
      <c r="C23" s="100" t="s">
        <v>33</v>
      </c>
      <c r="D23" s="222" t="s">
        <v>48</v>
      </c>
      <c r="E23" s="223"/>
      <c r="F23" s="92" t="s">
        <v>49</v>
      </c>
      <c r="G23" s="222" t="s">
        <v>36</v>
      </c>
      <c r="H23" s="223"/>
      <c r="I23" s="223"/>
      <c r="J23" s="223"/>
      <c r="K23" s="223"/>
      <c r="L23" s="93">
        <f>10000+10000+10000</f>
        <v>30000</v>
      </c>
      <c r="M23" s="93">
        <v>0</v>
      </c>
      <c r="N23" s="93"/>
      <c r="O23" s="93"/>
      <c r="P23" s="93">
        <v>0</v>
      </c>
      <c r="Q23" s="93">
        <v>0</v>
      </c>
      <c r="R23" s="93"/>
      <c r="S23" s="93">
        <v>0</v>
      </c>
      <c r="T23" s="93"/>
      <c r="U23" s="93">
        <v>0</v>
      </c>
      <c r="V23" s="93"/>
      <c r="W23" s="93">
        <v>0</v>
      </c>
      <c r="X23" s="93">
        <f t="shared" ref="X23:X26" si="1">SUM(L23:W23)</f>
        <v>30000</v>
      </c>
    </row>
    <row r="24" spans="1:24" s="94" customFormat="1" ht="35.25" customHeight="1">
      <c r="A24" s="246"/>
      <c r="B24" s="223"/>
      <c r="C24" s="100" t="s">
        <v>33</v>
      </c>
      <c r="D24" s="222" t="s">
        <v>50</v>
      </c>
      <c r="E24" s="223"/>
      <c r="F24" s="92" t="s">
        <v>51</v>
      </c>
      <c r="G24" s="222" t="s">
        <v>36</v>
      </c>
      <c r="H24" s="223"/>
      <c r="I24" s="223"/>
      <c r="J24" s="223"/>
      <c r="K24" s="223"/>
      <c r="L24" s="93">
        <v>30000</v>
      </c>
      <c r="M24" s="93">
        <v>0</v>
      </c>
      <c r="N24" s="93"/>
      <c r="O24" s="93"/>
      <c r="P24" s="93">
        <v>0</v>
      </c>
      <c r="Q24" s="93">
        <v>0</v>
      </c>
      <c r="R24" s="93"/>
      <c r="S24" s="93">
        <v>0</v>
      </c>
      <c r="T24" s="93"/>
      <c r="U24" s="93">
        <v>0</v>
      </c>
      <c r="V24" s="93"/>
      <c r="W24" s="93">
        <v>0</v>
      </c>
      <c r="X24" s="93">
        <f t="shared" si="1"/>
        <v>30000</v>
      </c>
    </row>
    <row r="25" spans="1:24" s="94" customFormat="1" ht="35.25" customHeight="1">
      <c r="A25" s="246"/>
      <c r="B25" s="223"/>
      <c r="C25" s="100" t="s">
        <v>33</v>
      </c>
      <c r="D25" s="222" t="s">
        <v>52</v>
      </c>
      <c r="E25" s="223"/>
      <c r="F25" s="92" t="s">
        <v>53</v>
      </c>
      <c r="G25" s="222" t="s">
        <v>36</v>
      </c>
      <c r="H25" s="223"/>
      <c r="I25" s="223"/>
      <c r="J25" s="223"/>
      <c r="K25" s="223"/>
      <c r="L25" s="93">
        <f>16560+16560+16560</f>
        <v>49680</v>
      </c>
      <c r="M25" s="93">
        <v>0</v>
      </c>
      <c r="N25" s="93"/>
      <c r="O25" s="93"/>
      <c r="P25" s="93">
        <v>0</v>
      </c>
      <c r="Q25" s="93">
        <v>0</v>
      </c>
      <c r="R25" s="93"/>
      <c r="S25" s="93">
        <v>0</v>
      </c>
      <c r="T25" s="93"/>
      <c r="U25" s="93">
        <v>0</v>
      </c>
      <c r="V25" s="93"/>
      <c r="W25" s="93">
        <v>0</v>
      </c>
      <c r="X25" s="93">
        <f t="shared" si="1"/>
        <v>49680</v>
      </c>
    </row>
    <row r="26" spans="1:24" s="94" customFormat="1" ht="35.25" customHeight="1">
      <c r="A26" s="246"/>
      <c r="B26" s="223"/>
      <c r="C26" s="100" t="s">
        <v>33</v>
      </c>
      <c r="D26" s="222" t="s">
        <v>54</v>
      </c>
      <c r="E26" s="223"/>
      <c r="F26" s="92" t="s">
        <v>55</v>
      </c>
      <c r="G26" s="222" t="s">
        <v>36</v>
      </c>
      <c r="H26" s="223"/>
      <c r="I26" s="223"/>
      <c r="J26" s="223"/>
      <c r="K26" s="223"/>
      <c r="L26" s="93">
        <f>124200+124200+124200</f>
        <v>372600</v>
      </c>
      <c r="M26" s="93">
        <v>0</v>
      </c>
      <c r="N26" s="93"/>
      <c r="O26" s="93"/>
      <c r="P26" s="93">
        <v>0</v>
      </c>
      <c r="Q26" s="93">
        <v>0</v>
      </c>
      <c r="R26" s="93"/>
      <c r="S26" s="93">
        <v>0</v>
      </c>
      <c r="T26" s="93"/>
      <c r="U26" s="93">
        <v>0</v>
      </c>
      <c r="V26" s="93"/>
      <c r="W26" s="93">
        <v>0</v>
      </c>
      <c r="X26" s="93">
        <f t="shared" si="1"/>
        <v>372600</v>
      </c>
    </row>
    <row r="27" spans="1:24" s="94" customFormat="1" ht="15">
      <c r="A27" s="246"/>
      <c r="B27" s="223"/>
      <c r="C27" s="244" t="s">
        <v>8</v>
      </c>
      <c r="D27" s="223"/>
      <c r="E27" s="223"/>
      <c r="F27" s="223"/>
      <c r="G27" s="223"/>
      <c r="H27" s="223"/>
      <c r="I27" s="223"/>
      <c r="J27" s="223"/>
      <c r="K27" s="223"/>
      <c r="L27" s="99">
        <f>SUM(L22:L26)</f>
        <v>656160</v>
      </c>
      <c r="M27" s="99">
        <f>SUM(M22:M26)</f>
        <v>0</v>
      </c>
      <c r="N27" s="99"/>
      <c r="O27" s="99">
        <f t="shared" ref="O27" si="2">SUM(O22:O26)</f>
        <v>0</v>
      </c>
      <c r="P27" s="99">
        <f>SUM(P22:P26)</f>
        <v>0</v>
      </c>
      <c r="Q27" s="99">
        <f ca="1">SUM(Q22:Q27)</f>
        <v>0</v>
      </c>
      <c r="R27" s="99"/>
      <c r="S27" s="99">
        <f>SUM(S22:S26)</f>
        <v>0</v>
      </c>
      <c r="T27" s="99"/>
      <c r="U27" s="99">
        <f>SUM(U22:U26)</f>
        <v>0</v>
      </c>
      <c r="V27" s="99"/>
      <c r="W27" s="99">
        <f>SUM(W22:W26)</f>
        <v>0</v>
      </c>
      <c r="X27" s="99">
        <f>SUM(X22:X26)</f>
        <v>656160</v>
      </c>
    </row>
    <row r="28" spans="1:24" s="94" customFormat="1" ht="30" customHeight="1">
      <c r="A28" s="245" t="s">
        <v>33</v>
      </c>
      <c r="B28" s="248" t="s">
        <v>56</v>
      </c>
      <c r="C28" s="100" t="s">
        <v>33</v>
      </c>
      <c r="D28" s="222" t="s">
        <v>57</v>
      </c>
      <c r="E28" s="223"/>
      <c r="F28" s="92" t="s">
        <v>58</v>
      </c>
      <c r="G28" s="222" t="s">
        <v>36</v>
      </c>
      <c r="H28" s="223"/>
      <c r="I28" s="223"/>
      <c r="J28" s="223"/>
      <c r="K28" s="223"/>
      <c r="L28" s="93">
        <f>234470+234470+214990</f>
        <v>683930</v>
      </c>
      <c r="M28" s="93">
        <f>70520+70520+70520</f>
        <v>211560</v>
      </c>
      <c r="N28" s="93"/>
      <c r="O28" s="101">
        <f>24010*3</f>
        <v>72030</v>
      </c>
      <c r="P28" s="93">
        <f>61410*3</f>
        <v>184230</v>
      </c>
      <c r="Q28" s="101">
        <f>43760+73760+45193.33</f>
        <v>162713.33000000002</v>
      </c>
      <c r="R28" s="101"/>
      <c r="S28" s="93">
        <v>0</v>
      </c>
      <c r="T28" s="93"/>
      <c r="U28" s="93">
        <v>0</v>
      </c>
      <c r="V28" s="93"/>
      <c r="W28" s="93">
        <v>0</v>
      </c>
      <c r="X28" s="93">
        <f>SUM(L28:W28)</f>
        <v>1314463.33</v>
      </c>
    </row>
    <row r="29" spans="1:24" s="94" customFormat="1" ht="37.5" customHeight="1">
      <c r="A29" s="246"/>
      <c r="B29" s="223"/>
      <c r="C29" s="100" t="s">
        <v>33</v>
      </c>
      <c r="D29" s="222" t="s">
        <v>59</v>
      </c>
      <c r="E29" s="223"/>
      <c r="F29" s="92" t="s">
        <v>60</v>
      </c>
      <c r="G29" s="222" t="s">
        <v>36</v>
      </c>
      <c r="H29" s="223"/>
      <c r="I29" s="223"/>
      <c r="J29" s="223"/>
      <c r="K29" s="223"/>
      <c r="L29" s="93">
        <v>0</v>
      </c>
      <c r="M29" s="93">
        <v>0</v>
      </c>
      <c r="N29" s="93"/>
      <c r="O29" s="93"/>
      <c r="P29" s="93">
        <v>0</v>
      </c>
      <c r="Q29" s="101">
        <f>+(315+315)-588</f>
        <v>42</v>
      </c>
      <c r="R29" s="101"/>
      <c r="S29" s="93">
        <v>0</v>
      </c>
      <c r="T29" s="93"/>
      <c r="U29" s="93">
        <v>0</v>
      </c>
      <c r="V29" s="93"/>
      <c r="W29" s="93">
        <v>0</v>
      </c>
      <c r="X29" s="93">
        <f t="shared" ref="X29:X33" si="3">SUM(L29:W29)</f>
        <v>42</v>
      </c>
    </row>
    <row r="30" spans="1:24" s="94" customFormat="1" ht="24" customHeight="1">
      <c r="A30" s="246"/>
      <c r="B30" s="223"/>
      <c r="C30" s="100" t="s">
        <v>33</v>
      </c>
      <c r="D30" s="222" t="s">
        <v>61</v>
      </c>
      <c r="E30" s="223"/>
      <c r="F30" s="92" t="s">
        <v>62</v>
      </c>
      <c r="G30" s="222" t="s">
        <v>36</v>
      </c>
      <c r="H30" s="223"/>
      <c r="I30" s="223"/>
      <c r="J30" s="223"/>
      <c r="K30" s="223"/>
      <c r="L30" s="93">
        <f>15500+15500+15500</f>
        <v>46500</v>
      </c>
      <c r="M30" s="93" t="s">
        <v>122</v>
      </c>
      <c r="N30" s="93"/>
      <c r="O30" s="93"/>
      <c r="P30" s="93">
        <v>0</v>
      </c>
      <c r="Q30" s="101">
        <f>3500*3</f>
        <v>10500</v>
      </c>
      <c r="R30" s="101"/>
      <c r="S30" s="93">
        <v>0</v>
      </c>
      <c r="T30" s="93"/>
      <c r="U30" s="93">
        <v>0</v>
      </c>
      <c r="V30" s="93"/>
      <c r="W30" s="93">
        <v>0</v>
      </c>
      <c r="X30" s="93">
        <f t="shared" si="3"/>
        <v>57000</v>
      </c>
    </row>
    <row r="31" spans="1:24" s="94" customFormat="1" ht="24" customHeight="1">
      <c r="A31" s="246"/>
      <c r="B31" s="223"/>
      <c r="C31" s="100" t="s">
        <v>33</v>
      </c>
      <c r="D31" s="222" t="s">
        <v>63</v>
      </c>
      <c r="E31" s="223"/>
      <c r="F31" s="92" t="s">
        <v>64</v>
      </c>
      <c r="G31" s="222" t="s">
        <v>36</v>
      </c>
      <c r="H31" s="223"/>
      <c r="I31" s="223"/>
      <c r="J31" s="223"/>
      <c r="K31" s="223"/>
      <c r="L31" s="93">
        <f>82370+100370+100370</f>
        <v>283110</v>
      </c>
      <c r="M31" s="93">
        <f>32210+41210+41210</f>
        <v>114630</v>
      </c>
      <c r="N31" s="93"/>
      <c r="O31" s="101">
        <f>9000*3</f>
        <v>27000</v>
      </c>
      <c r="P31" s="93">
        <f>24440+33440+33440</f>
        <v>91320</v>
      </c>
      <c r="Q31" s="102">
        <f>39760+39760+39760</f>
        <v>119280</v>
      </c>
      <c r="R31" s="102"/>
      <c r="S31" s="93">
        <v>0</v>
      </c>
      <c r="T31" s="93"/>
      <c r="U31" s="93">
        <v>0</v>
      </c>
      <c r="V31" s="93"/>
      <c r="W31" s="93">
        <v>0</v>
      </c>
      <c r="X31" s="93">
        <f t="shared" si="3"/>
        <v>635340</v>
      </c>
    </row>
    <row r="32" spans="1:24" s="94" customFormat="1" ht="37.5" customHeight="1">
      <c r="A32" s="246"/>
      <c r="B32" s="223"/>
      <c r="C32" s="100" t="s">
        <v>33</v>
      </c>
      <c r="D32" s="222" t="s">
        <v>65</v>
      </c>
      <c r="E32" s="223"/>
      <c r="F32" s="92" t="s">
        <v>66</v>
      </c>
      <c r="G32" s="222" t="s">
        <v>36</v>
      </c>
      <c r="H32" s="223"/>
      <c r="I32" s="223"/>
      <c r="J32" s="223"/>
      <c r="K32" s="223"/>
      <c r="L32" s="93">
        <f>7485+9485+9485</f>
        <v>26455</v>
      </c>
      <c r="M32" s="93">
        <f>3255+4255+4255</f>
        <v>11765</v>
      </c>
      <c r="N32" s="93"/>
      <c r="O32" s="101">
        <f>1000*3</f>
        <v>3000</v>
      </c>
      <c r="P32" s="93">
        <f>2130+3130+3130</f>
        <v>8390</v>
      </c>
      <c r="Q32" s="102">
        <f>7000+7000+7000</f>
        <v>21000</v>
      </c>
      <c r="R32" s="102"/>
      <c r="S32" s="93">
        <v>0</v>
      </c>
      <c r="T32" s="93"/>
      <c r="U32" s="93">
        <v>0</v>
      </c>
      <c r="V32" s="93"/>
      <c r="W32" s="93">
        <v>0</v>
      </c>
      <c r="X32" s="93">
        <f t="shared" si="3"/>
        <v>70610</v>
      </c>
    </row>
    <row r="33" spans="1:24" s="94" customFormat="1" ht="36" customHeight="1">
      <c r="A33" s="246"/>
      <c r="B33" s="223"/>
      <c r="C33" s="100" t="s">
        <v>33</v>
      </c>
      <c r="D33" s="222" t="s">
        <v>67</v>
      </c>
      <c r="E33" s="223"/>
      <c r="F33" s="92" t="s">
        <v>68</v>
      </c>
      <c r="G33" s="222" t="s">
        <v>69</v>
      </c>
      <c r="H33" s="223"/>
      <c r="I33" s="223"/>
      <c r="J33" s="223"/>
      <c r="K33" s="223"/>
      <c r="L33" s="93">
        <v>0</v>
      </c>
      <c r="M33" s="93">
        <v>0</v>
      </c>
      <c r="N33" s="93"/>
      <c r="O33" s="101">
        <v>0</v>
      </c>
      <c r="P33" s="93">
        <v>0</v>
      </c>
      <c r="Q33" s="103">
        <v>0</v>
      </c>
      <c r="R33" s="103"/>
      <c r="S33" s="93">
        <v>0</v>
      </c>
      <c r="T33" s="93"/>
      <c r="U33" s="93">
        <v>0</v>
      </c>
      <c r="V33" s="93"/>
      <c r="W33" s="93">
        <v>0</v>
      </c>
      <c r="X33" s="93">
        <f t="shared" si="3"/>
        <v>0</v>
      </c>
    </row>
    <row r="34" spans="1:24" s="94" customFormat="1" ht="22.5" customHeight="1">
      <c r="A34" s="246"/>
      <c r="B34" s="223"/>
      <c r="C34" s="244" t="s">
        <v>8</v>
      </c>
      <c r="D34" s="223"/>
      <c r="E34" s="223"/>
      <c r="F34" s="223"/>
      <c r="G34" s="223"/>
      <c r="H34" s="223"/>
      <c r="I34" s="223"/>
      <c r="J34" s="223"/>
      <c r="K34" s="223"/>
      <c r="L34" s="99">
        <f>SUM(L28:L33)</f>
        <v>1039995</v>
      </c>
      <c r="M34" s="99">
        <f>SUM(M28:M33)</f>
        <v>337955</v>
      </c>
      <c r="N34" s="99"/>
      <c r="O34" s="104">
        <f>SUM(O28:O33)</f>
        <v>102030</v>
      </c>
      <c r="P34" s="99">
        <f>SUM(P28:P33)</f>
        <v>283940</v>
      </c>
      <c r="Q34" s="104">
        <f>SUM(Q28:Q33)</f>
        <v>313535.33</v>
      </c>
      <c r="R34" s="104"/>
      <c r="S34" s="99">
        <v>0</v>
      </c>
      <c r="T34" s="99"/>
      <c r="U34" s="99">
        <v>0</v>
      </c>
      <c r="V34" s="99"/>
      <c r="W34" s="99">
        <v>0</v>
      </c>
      <c r="X34" s="99">
        <f>SUM(X28:X33)</f>
        <v>2077455.33</v>
      </c>
    </row>
    <row r="35" spans="1:24" s="94" customFormat="1" ht="20.25" customHeight="1">
      <c r="A35" s="245" t="s">
        <v>33</v>
      </c>
      <c r="B35" s="222" t="s">
        <v>70</v>
      </c>
      <c r="C35" s="100" t="s">
        <v>33</v>
      </c>
      <c r="D35" s="222" t="s">
        <v>71</v>
      </c>
      <c r="E35" s="223"/>
      <c r="F35" s="92" t="s">
        <v>72</v>
      </c>
      <c r="G35" s="222" t="s">
        <v>36</v>
      </c>
      <c r="H35" s="223"/>
      <c r="I35" s="223"/>
      <c r="J35" s="223"/>
      <c r="K35" s="223"/>
      <c r="L35" s="93">
        <f>26749+25500+25500</f>
        <v>77749</v>
      </c>
      <c r="M35" s="93">
        <f>9000+9000+9000</f>
        <v>27000</v>
      </c>
      <c r="N35" s="93"/>
      <c r="O35" s="101">
        <f>3000+3000+3000</f>
        <v>9000</v>
      </c>
      <c r="P35" s="93">
        <v>0</v>
      </c>
      <c r="Q35" s="101">
        <f>5450+5450+1950</f>
        <v>12850</v>
      </c>
      <c r="R35" s="101"/>
      <c r="S35" s="93">
        <v>0</v>
      </c>
      <c r="T35" s="93"/>
      <c r="U35" s="93">
        <v>0</v>
      </c>
      <c r="V35" s="93"/>
      <c r="W35" s="93">
        <v>0</v>
      </c>
      <c r="X35" s="93">
        <f>SUM(L35:W35)</f>
        <v>126599</v>
      </c>
    </row>
    <row r="36" spans="1:24" s="94" customFormat="1" ht="53.25" customHeight="1">
      <c r="A36" s="246"/>
      <c r="B36" s="223"/>
      <c r="C36" s="100" t="s">
        <v>33</v>
      </c>
      <c r="D36" s="222" t="s">
        <v>73</v>
      </c>
      <c r="E36" s="223"/>
      <c r="F36" s="92" t="s">
        <v>74</v>
      </c>
      <c r="G36" s="222" t="s">
        <v>36</v>
      </c>
      <c r="H36" s="223"/>
      <c r="I36" s="223"/>
      <c r="J36" s="223"/>
      <c r="K36" s="223"/>
      <c r="L36" s="93">
        <v>11400</v>
      </c>
      <c r="M36" s="93">
        <v>4255</v>
      </c>
      <c r="N36" s="93"/>
      <c r="O36" s="93">
        <f>3000+3000+3000</f>
        <v>9000</v>
      </c>
      <c r="P36" s="93">
        <v>0</v>
      </c>
      <c r="Q36" s="101">
        <v>4400</v>
      </c>
      <c r="R36" s="101"/>
      <c r="S36" s="93">
        <v>0</v>
      </c>
      <c r="T36" s="93"/>
      <c r="U36" s="93">
        <v>0</v>
      </c>
      <c r="V36" s="93"/>
      <c r="W36" s="93">
        <v>0</v>
      </c>
      <c r="X36" s="93">
        <f t="shared" ref="X36:X37" si="4">SUM(L36:W36)</f>
        <v>29055</v>
      </c>
    </row>
    <row r="37" spans="1:24" s="94" customFormat="1" ht="53.25" customHeight="1">
      <c r="A37" s="246"/>
      <c r="B37" s="223"/>
      <c r="C37" s="100"/>
      <c r="D37" s="247" t="s">
        <v>103</v>
      </c>
      <c r="E37" s="247"/>
      <c r="F37" s="92"/>
      <c r="G37" s="105"/>
      <c r="H37" s="106"/>
      <c r="I37" s="106"/>
      <c r="J37" s="106"/>
      <c r="K37" s="106"/>
      <c r="L37" s="93">
        <v>0</v>
      </c>
      <c r="M37" s="93"/>
      <c r="N37" s="93"/>
      <c r="O37" s="93"/>
      <c r="P37" s="93"/>
      <c r="Q37" s="101"/>
      <c r="R37" s="101"/>
      <c r="S37" s="93"/>
      <c r="T37" s="93"/>
      <c r="U37" s="93"/>
      <c r="V37" s="93"/>
      <c r="W37" s="93"/>
      <c r="X37" s="93">
        <f t="shared" si="4"/>
        <v>0</v>
      </c>
    </row>
    <row r="38" spans="1:24" s="94" customFormat="1" ht="24" customHeight="1">
      <c r="A38" s="246"/>
      <c r="B38" s="223"/>
      <c r="C38" s="244" t="s">
        <v>8</v>
      </c>
      <c r="D38" s="223"/>
      <c r="E38" s="223"/>
      <c r="F38" s="223"/>
      <c r="G38" s="223"/>
      <c r="H38" s="223"/>
      <c r="I38" s="223"/>
      <c r="J38" s="223"/>
      <c r="K38" s="223"/>
      <c r="L38" s="99">
        <f>SUM(L35:L37)</f>
        <v>89149</v>
      </c>
      <c r="M38" s="99">
        <f t="shared" ref="M38:X38" si="5">SUM(M35:M37)</f>
        <v>31255</v>
      </c>
      <c r="N38" s="99"/>
      <c r="O38" s="99">
        <f t="shared" si="5"/>
        <v>18000</v>
      </c>
      <c r="P38" s="99">
        <f t="shared" si="5"/>
        <v>0</v>
      </c>
      <c r="Q38" s="99">
        <f t="shared" si="5"/>
        <v>17250</v>
      </c>
      <c r="R38" s="99"/>
      <c r="S38" s="99">
        <f t="shared" si="5"/>
        <v>0</v>
      </c>
      <c r="T38" s="99"/>
      <c r="U38" s="99">
        <f t="shared" si="5"/>
        <v>0</v>
      </c>
      <c r="V38" s="99"/>
      <c r="W38" s="99">
        <f t="shared" si="5"/>
        <v>0</v>
      </c>
      <c r="X38" s="99">
        <f t="shared" si="5"/>
        <v>155654</v>
      </c>
    </row>
    <row r="39" spans="1:24" s="94" customFormat="1" ht="40.5" customHeight="1">
      <c r="A39" s="245" t="s">
        <v>33</v>
      </c>
      <c r="B39" s="222" t="s">
        <v>75</v>
      </c>
      <c r="C39" s="100" t="s">
        <v>33</v>
      </c>
      <c r="D39" s="222" t="s">
        <v>76</v>
      </c>
      <c r="E39" s="223"/>
      <c r="F39" s="92" t="s">
        <v>77</v>
      </c>
      <c r="G39" s="222" t="s">
        <v>36</v>
      </c>
      <c r="H39" s="223"/>
      <c r="I39" s="223"/>
      <c r="J39" s="223"/>
      <c r="K39" s="223"/>
      <c r="L39" s="93">
        <f>36920+54456+18320</f>
        <v>109696</v>
      </c>
      <c r="M39" s="93"/>
      <c r="N39" s="93"/>
      <c r="O39" s="93"/>
      <c r="P39" s="93">
        <f>18000+18000+18000</f>
        <v>54000</v>
      </c>
      <c r="Q39" s="101"/>
      <c r="R39" s="101"/>
      <c r="S39" s="93"/>
      <c r="T39" s="93"/>
      <c r="U39" s="93"/>
      <c r="V39" s="93"/>
      <c r="W39" s="93">
        <v>0</v>
      </c>
      <c r="X39" s="93">
        <f>SUM(L39:W39)</f>
        <v>163696</v>
      </c>
    </row>
    <row r="40" spans="1:24" s="94" customFormat="1" ht="31.5" customHeight="1">
      <c r="A40" s="246"/>
      <c r="B40" s="223"/>
      <c r="C40" s="100" t="s">
        <v>33</v>
      </c>
      <c r="D40" s="222" t="s">
        <v>78</v>
      </c>
      <c r="E40" s="223"/>
      <c r="F40" s="92" t="s">
        <v>79</v>
      </c>
      <c r="G40" s="222" t="s">
        <v>36</v>
      </c>
      <c r="H40" s="223"/>
      <c r="I40" s="223"/>
      <c r="J40" s="223"/>
      <c r="K40" s="223"/>
      <c r="L40" s="93">
        <f>7980+3780+3885</f>
        <v>15645</v>
      </c>
      <c r="M40" s="93">
        <f>7600+14446</f>
        <v>22046</v>
      </c>
      <c r="N40" s="93">
        <f>15000+2360</f>
        <v>17360</v>
      </c>
      <c r="O40" s="93">
        <f>7600+900</f>
        <v>8500</v>
      </c>
      <c r="P40" s="93">
        <v>258100</v>
      </c>
      <c r="Q40" s="101">
        <f>4700+18098</f>
        <v>22798</v>
      </c>
      <c r="R40" s="101"/>
      <c r="S40" s="93">
        <f>1800+90440+8200</f>
        <v>100440</v>
      </c>
      <c r="T40" s="93">
        <f>179085+300</f>
        <v>179385</v>
      </c>
      <c r="U40" s="89">
        <f>104000+96600</f>
        <v>200600</v>
      </c>
      <c r="V40" s="89">
        <v>20600</v>
      </c>
      <c r="W40" s="93"/>
      <c r="X40" s="93">
        <f t="shared" ref="X40:X42" si="6">SUM(L40:W40)</f>
        <v>845474</v>
      </c>
    </row>
    <row r="41" spans="1:24" s="94" customFormat="1" ht="34.5" customHeight="1">
      <c r="A41" s="246"/>
      <c r="B41" s="223"/>
      <c r="C41" s="100"/>
      <c r="D41" s="247" t="s">
        <v>104</v>
      </c>
      <c r="E41" s="247"/>
      <c r="F41" s="92"/>
      <c r="G41" s="105"/>
      <c r="H41" s="106"/>
      <c r="I41" s="106"/>
      <c r="J41" s="106"/>
      <c r="K41" s="106"/>
      <c r="L41" s="93">
        <f>4760+5000+46050</f>
        <v>55810</v>
      </c>
      <c r="M41" s="93"/>
      <c r="N41" s="93"/>
      <c r="O41" s="93"/>
      <c r="P41" s="93"/>
      <c r="Q41" s="101"/>
      <c r="R41" s="101"/>
      <c r="S41" s="107"/>
      <c r="T41" s="93"/>
      <c r="U41" s="93"/>
      <c r="V41" s="93"/>
      <c r="W41" s="93"/>
      <c r="X41" s="93">
        <f t="shared" si="6"/>
        <v>55810</v>
      </c>
    </row>
    <row r="42" spans="1:24" s="94" customFormat="1" ht="33.75" customHeight="1">
      <c r="A42" s="246"/>
      <c r="B42" s="223"/>
      <c r="C42" s="100"/>
      <c r="D42" s="247" t="s">
        <v>105</v>
      </c>
      <c r="E42" s="247"/>
      <c r="F42" s="92"/>
      <c r="G42" s="105"/>
      <c r="H42" s="106"/>
      <c r="I42" s="106"/>
      <c r="J42" s="106"/>
      <c r="K42" s="106"/>
      <c r="L42" s="93">
        <f>1100+11975</f>
        <v>13075</v>
      </c>
      <c r="M42" s="93"/>
      <c r="N42" s="93"/>
      <c r="O42" s="93"/>
      <c r="P42" s="93"/>
      <c r="Q42" s="101">
        <v>1600</v>
      </c>
      <c r="R42" s="101"/>
      <c r="S42" s="93"/>
      <c r="T42" s="93"/>
      <c r="U42" s="93"/>
      <c r="V42" s="93"/>
      <c r="W42" s="93"/>
      <c r="X42" s="93">
        <f t="shared" si="6"/>
        <v>14675</v>
      </c>
    </row>
    <row r="43" spans="1:24" s="94" customFormat="1" ht="21" customHeight="1">
      <c r="A43" s="246"/>
      <c r="B43" s="223"/>
      <c r="C43" s="244" t="s">
        <v>8</v>
      </c>
      <c r="D43" s="223"/>
      <c r="E43" s="223"/>
      <c r="F43" s="223"/>
      <c r="G43" s="223"/>
      <c r="H43" s="223"/>
      <c r="I43" s="223"/>
      <c r="J43" s="223"/>
      <c r="K43" s="223"/>
      <c r="L43" s="99">
        <f>SUM(L39:L42)</f>
        <v>194226</v>
      </c>
      <c r="M43" s="99">
        <f t="shared" ref="M43:W43" si="7">SUM(M39:M42)</f>
        <v>22046</v>
      </c>
      <c r="N43" s="99">
        <f t="shared" si="7"/>
        <v>17360</v>
      </c>
      <c r="O43" s="99">
        <f t="shared" si="7"/>
        <v>8500</v>
      </c>
      <c r="P43" s="99">
        <f t="shared" si="7"/>
        <v>312100</v>
      </c>
      <c r="Q43" s="99">
        <f t="shared" si="7"/>
        <v>24398</v>
      </c>
      <c r="R43" s="99">
        <f t="shared" si="7"/>
        <v>0</v>
      </c>
      <c r="S43" s="99">
        <f t="shared" si="7"/>
        <v>100440</v>
      </c>
      <c r="T43" s="99">
        <f t="shared" si="7"/>
        <v>179385</v>
      </c>
      <c r="U43" s="99">
        <f t="shared" si="7"/>
        <v>200600</v>
      </c>
      <c r="V43" s="99">
        <f t="shared" si="7"/>
        <v>20600</v>
      </c>
      <c r="W43" s="99">
        <f t="shared" si="7"/>
        <v>0</v>
      </c>
      <c r="X43" s="99">
        <f>SUM(X39:X42)</f>
        <v>1079655</v>
      </c>
    </row>
    <row r="44" spans="1:24" s="94" customFormat="1" ht="24" customHeight="1">
      <c r="A44" s="245" t="s">
        <v>33</v>
      </c>
      <c r="B44" s="222" t="s">
        <v>80</v>
      </c>
      <c r="C44" s="108" t="s">
        <v>33</v>
      </c>
      <c r="D44" s="247" t="s">
        <v>81</v>
      </c>
      <c r="E44" s="250"/>
      <c r="F44" s="92" t="s">
        <v>82</v>
      </c>
      <c r="G44" s="222" t="s">
        <v>36</v>
      </c>
      <c r="H44" s="223"/>
      <c r="I44" s="223"/>
      <c r="J44" s="223"/>
      <c r="K44" s="223"/>
      <c r="L44" s="93">
        <f>2944+1640+40612</f>
        <v>45196</v>
      </c>
      <c r="M44" s="93">
        <v>7621</v>
      </c>
      <c r="N44" s="93"/>
      <c r="O44" s="93"/>
      <c r="P44" s="93"/>
      <c r="Q44" s="101">
        <v>10944</v>
      </c>
      <c r="R44" s="101"/>
      <c r="S44" s="93"/>
      <c r="T44" s="93"/>
      <c r="U44" s="93">
        <v>0</v>
      </c>
      <c r="V44" s="93"/>
      <c r="W44" s="93">
        <v>0</v>
      </c>
      <c r="X44" s="93">
        <f>SUM(L44:W44)</f>
        <v>63761</v>
      </c>
    </row>
    <row r="45" spans="1:24" s="94" customFormat="1" ht="22.5" customHeight="1">
      <c r="A45" s="249"/>
      <c r="B45" s="222"/>
      <c r="C45" s="108"/>
      <c r="D45" s="247" t="s">
        <v>98</v>
      </c>
      <c r="E45" s="250"/>
      <c r="F45" s="105"/>
      <c r="G45" s="105"/>
      <c r="H45" s="106"/>
      <c r="I45" s="106"/>
      <c r="J45" s="106"/>
      <c r="K45" s="106"/>
      <c r="L45" s="93"/>
      <c r="M45" s="93"/>
      <c r="N45" s="93"/>
      <c r="O45" s="106"/>
      <c r="P45" s="93"/>
      <c r="Q45" s="93"/>
      <c r="R45" s="93">
        <v>14290</v>
      </c>
      <c r="S45" s="93"/>
      <c r="T45" s="93"/>
      <c r="U45" s="93"/>
      <c r="V45" s="93"/>
      <c r="W45" s="93"/>
      <c r="X45" s="93">
        <f t="shared" ref="X45:X51" si="8">SUM(L45:W45)</f>
        <v>14290</v>
      </c>
    </row>
    <row r="46" spans="1:24" s="94" customFormat="1" ht="21" customHeight="1">
      <c r="A46" s="249"/>
      <c r="B46" s="222"/>
      <c r="C46" s="108"/>
      <c r="D46" s="247" t="s">
        <v>100</v>
      </c>
      <c r="E46" s="247"/>
      <c r="F46" s="105"/>
      <c r="G46" s="105"/>
      <c r="H46" s="106"/>
      <c r="I46" s="106"/>
      <c r="J46" s="106"/>
      <c r="K46" s="106"/>
      <c r="L46" s="93"/>
      <c r="M46" s="93"/>
      <c r="N46" s="93"/>
      <c r="O46" s="106"/>
      <c r="P46" s="93">
        <f>385447.8+80220.66</f>
        <v>465668.45999999996</v>
      </c>
      <c r="Q46" s="93"/>
      <c r="R46" s="93"/>
      <c r="S46" s="93"/>
      <c r="T46" s="93"/>
      <c r="U46" s="93"/>
      <c r="V46" s="93"/>
      <c r="W46" s="93"/>
      <c r="X46" s="93">
        <f t="shared" si="8"/>
        <v>465668.45999999996</v>
      </c>
    </row>
    <row r="47" spans="1:24" s="94" customFormat="1" ht="32.25" customHeight="1">
      <c r="A47" s="246"/>
      <c r="B47" s="223"/>
      <c r="C47" s="108" t="s">
        <v>33</v>
      </c>
      <c r="D47" s="247" t="s">
        <v>83</v>
      </c>
      <c r="E47" s="250"/>
      <c r="F47" s="92" t="s">
        <v>84</v>
      </c>
      <c r="G47" s="222" t="s">
        <v>36</v>
      </c>
      <c r="H47" s="223"/>
      <c r="I47" s="223"/>
      <c r="J47" s="223"/>
      <c r="K47" s="223"/>
      <c r="L47" s="93">
        <f>31475+16175+24673</f>
        <v>72323</v>
      </c>
      <c r="M47" s="93"/>
      <c r="N47" s="93"/>
      <c r="O47" s="93"/>
      <c r="P47" s="93"/>
      <c r="Q47" s="101"/>
      <c r="R47" s="101"/>
      <c r="S47" s="93"/>
      <c r="T47" s="93"/>
      <c r="U47" s="93">
        <v>0</v>
      </c>
      <c r="V47" s="93"/>
      <c r="W47" s="93">
        <v>0</v>
      </c>
      <c r="X47" s="93">
        <f t="shared" si="8"/>
        <v>72323</v>
      </c>
    </row>
    <row r="48" spans="1:24" s="94" customFormat="1" ht="15">
      <c r="A48" s="246"/>
      <c r="B48" s="223"/>
      <c r="C48" s="250" t="s">
        <v>99</v>
      </c>
      <c r="D48" s="250"/>
      <c r="E48" s="250"/>
      <c r="F48" s="92"/>
      <c r="G48" s="105"/>
      <c r="H48" s="106"/>
      <c r="I48" s="106"/>
      <c r="J48" s="106"/>
      <c r="K48" s="106"/>
      <c r="L48" s="93">
        <f>20940+14400</f>
        <v>35340</v>
      </c>
      <c r="M48" s="93">
        <v>4540</v>
      </c>
      <c r="N48" s="93"/>
      <c r="O48" s="106">
        <v>2390</v>
      </c>
      <c r="P48" s="93"/>
      <c r="Q48" s="93"/>
      <c r="R48" s="93"/>
      <c r="S48" s="93"/>
      <c r="T48" s="93"/>
      <c r="U48" s="93"/>
      <c r="V48" s="93"/>
      <c r="W48" s="93"/>
      <c r="X48" s="93">
        <f t="shared" si="8"/>
        <v>42270</v>
      </c>
    </row>
    <row r="49" spans="1:24" s="94" customFormat="1" ht="32.25" customHeight="1">
      <c r="A49" s="246"/>
      <c r="B49" s="223"/>
      <c r="C49" s="250" t="s">
        <v>112</v>
      </c>
      <c r="D49" s="250"/>
      <c r="E49" s="250"/>
      <c r="F49" s="92"/>
      <c r="G49" s="105"/>
      <c r="H49" s="106"/>
      <c r="I49" s="106"/>
      <c r="J49" s="106"/>
      <c r="K49" s="106"/>
      <c r="L49" s="93"/>
      <c r="M49" s="93"/>
      <c r="N49" s="93"/>
      <c r="O49" s="106"/>
      <c r="P49" s="93"/>
      <c r="Q49" s="93"/>
      <c r="R49" s="93"/>
      <c r="S49" s="93"/>
      <c r="T49" s="93"/>
      <c r="U49" s="93"/>
      <c r="V49" s="93"/>
      <c r="W49" s="93"/>
      <c r="X49" s="93">
        <f t="shared" si="8"/>
        <v>0</v>
      </c>
    </row>
    <row r="50" spans="1:24" s="94" customFormat="1" ht="38.25" customHeight="1">
      <c r="A50" s="246"/>
      <c r="B50" s="223"/>
      <c r="C50" s="109"/>
      <c r="D50" s="250" t="s">
        <v>126</v>
      </c>
      <c r="E50" s="250"/>
      <c r="F50" s="92"/>
      <c r="G50" s="105"/>
      <c r="H50" s="106"/>
      <c r="I50" s="106"/>
      <c r="J50" s="106"/>
      <c r="K50" s="106"/>
      <c r="L50" s="93">
        <v>46569.73</v>
      </c>
      <c r="M50" s="93"/>
      <c r="N50" s="93"/>
      <c r="O50" s="106"/>
      <c r="P50" s="93"/>
      <c r="Q50" s="93"/>
      <c r="R50" s="93">
        <v>16858</v>
      </c>
      <c r="S50" s="93"/>
      <c r="T50" s="93"/>
      <c r="U50" s="93"/>
      <c r="V50" s="93"/>
      <c r="W50" s="93"/>
      <c r="X50" s="93"/>
    </row>
    <row r="51" spans="1:24" s="94" customFormat="1" ht="15">
      <c r="A51" s="246"/>
      <c r="B51" s="223"/>
      <c r="C51" s="109"/>
      <c r="D51" s="250" t="s">
        <v>113</v>
      </c>
      <c r="E51" s="250"/>
      <c r="F51" s="92"/>
      <c r="G51" s="105"/>
      <c r="H51" s="106"/>
      <c r="I51" s="106"/>
      <c r="J51" s="106"/>
      <c r="K51" s="106"/>
      <c r="L51" s="93">
        <v>3965</v>
      </c>
      <c r="M51" s="93"/>
      <c r="N51" s="93"/>
      <c r="O51" s="106"/>
      <c r="P51" s="93"/>
      <c r="Q51" s="93"/>
      <c r="R51" s="93"/>
      <c r="S51" s="93"/>
      <c r="T51" s="93"/>
      <c r="U51" s="93"/>
      <c r="V51" s="93"/>
      <c r="W51" s="93"/>
      <c r="X51" s="93">
        <f t="shared" si="8"/>
        <v>3965</v>
      </c>
    </row>
    <row r="52" spans="1:24" s="94" customFormat="1" ht="24" customHeight="1">
      <c r="A52" s="246"/>
      <c r="B52" s="223"/>
      <c r="C52" s="244" t="s">
        <v>8</v>
      </c>
      <c r="D52" s="223"/>
      <c r="E52" s="223"/>
      <c r="F52" s="223"/>
      <c r="G52" s="223"/>
      <c r="H52" s="223"/>
      <c r="I52" s="223"/>
      <c r="J52" s="223"/>
      <c r="K52" s="223"/>
      <c r="L52" s="99">
        <f>SUM(L44:L51)</f>
        <v>203393.73</v>
      </c>
      <c r="M52" s="99">
        <f t="shared" ref="M52:T52" si="9">SUM(M44:M51)</f>
        <v>12161</v>
      </c>
      <c r="N52" s="99">
        <f t="shared" si="9"/>
        <v>0</v>
      </c>
      <c r="O52" s="99">
        <f t="shared" si="9"/>
        <v>2390</v>
      </c>
      <c r="P52" s="99">
        <f t="shared" si="9"/>
        <v>465668.45999999996</v>
      </c>
      <c r="Q52" s="99">
        <f t="shared" si="9"/>
        <v>10944</v>
      </c>
      <c r="R52" s="99">
        <f t="shared" si="9"/>
        <v>31148</v>
      </c>
      <c r="S52" s="99">
        <f t="shared" si="9"/>
        <v>0</v>
      </c>
      <c r="T52" s="99">
        <f t="shared" si="9"/>
        <v>0</v>
      </c>
      <c r="U52" s="99">
        <f t="shared" ref="U52:X52" si="10">SUM(U44:U51)</f>
        <v>0</v>
      </c>
      <c r="V52" s="99">
        <f t="shared" si="10"/>
        <v>0</v>
      </c>
      <c r="W52" s="99">
        <f t="shared" si="10"/>
        <v>0</v>
      </c>
      <c r="X52" s="99">
        <f t="shared" si="10"/>
        <v>662277.46</v>
      </c>
    </row>
    <row r="53" spans="1:24" s="94" customFormat="1" ht="21" customHeight="1">
      <c r="A53" s="245" t="s">
        <v>33</v>
      </c>
      <c r="B53" s="222" t="s">
        <v>85</v>
      </c>
      <c r="C53" s="100" t="s">
        <v>33</v>
      </c>
      <c r="D53" s="222" t="s">
        <v>86</v>
      </c>
      <c r="E53" s="223"/>
      <c r="F53" s="92" t="s">
        <v>87</v>
      </c>
      <c r="G53" s="222" t="s">
        <v>36</v>
      </c>
      <c r="H53" s="223"/>
      <c r="I53" s="223"/>
      <c r="J53" s="223"/>
      <c r="K53" s="223"/>
      <c r="L53" s="93">
        <f>16288.4+35704.01</f>
        <v>51992.41</v>
      </c>
      <c r="M53" s="93"/>
      <c r="N53" s="93"/>
      <c r="O53" s="93"/>
      <c r="P53" s="93"/>
      <c r="Q53" s="93"/>
      <c r="R53" s="93"/>
      <c r="S53" s="93">
        <v>0</v>
      </c>
      <c r="T53" s="93"/>
      <c r="U53" s="93">
        <v>0</v>
      </c>
      <c r="V53" s="93"/>
      <c r="W53" s="93">
        <v>0</v>
      </c>
      <c r="X53" s="93">
        <f>SUM(L53:W53)</f>
        <v>51992.41</v>
      </c>
    </row>
    <row r="54" spans="1:24" s="94" customFormat="1" ht="18.75" customHeight="1">
      <c r="A54" s="246"/>
      <c r="B54" s="223"/>
      <c r="C54" s="100" t="s">
        <v>33</v>
      </c>
      <c r="D54" s="222" t="s">
        <v>88</v>
      </c>
      <c r="E54" s="223"/>
      <c r="F54" s="92" t="s">
        <v>89</v>
      </c>
      <c r="G54" s="222" t="s">
        <v>36</v>
      </c>
      <c r="H54" s="223"/>
      <c r="I54" s="223"/>
      <c r="J54" s="223"/>
      <c r="K54" s="223"/>
      <c r="L54" s="93">
        <f>2419.66+7528.19+8371.57</f>
        <v>18319.419999999998</v>
      </c>
      <c r="M54" s="93"/>
      <c r="N54" s="93"/>
      <c r="O54" s="93"/>
      <c r="P54" s="93"/>
      <c r="Q54" s="93"/>
      <c r="R54" s="93"/>
      <c r="S54" s="93">
        <v>0</v>
      </c>
      <c r="T54" s="93"/>
      <c r="U54" s="93">
        <v>0</v>
      </c>
      <c r="V54" s="93"/>
      <c r="W54" s="93">
        <v>0</v>
      </c>
      <c r="X54" s="93">
        <f t="shared" ref="X54:X57" si="11">SUM(L54:W54)</f>
        <v>18319.419999999998</v>
      </c>
    </row>
    <row r="55" spans="1:24" s="94" customFormat="1" ht="16.5" customHeight="1">
      <c r="A55" s="246"/>
      <c r="B55" s="223"/>
      <c r="C55" s="100"/>
      <c r="D55" s="247" t="s">
        <v>114</v>
      </c>
      <c r="E55" s="247"/>
      <c r="F55" s="92"/>
      <c r="G55" s="105"/>
      <c r="H55" s="106"/>
      <c r="I55" s="106"/>
      <c r="J55" s="106"/>
      <c r="K55" s="106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>
        <f t="shared" si="11"/>
        <v>0</v>
      </c>
    </row>
    <row r="56" spans="1:24" s="94" customFormat="1" ht="22.5" customHeight="1">
      <c r="A56" s="246"/>
      <c r="B56" s="223"/>
      <c r="C56" s="100" t="s">
        <v>33</v>
      </c>
      <c r="D56" s="222" t="s">
        <v>90</v>
      </c>
      <c r="E56" s="223"/>
      <c r="F56" s="92" t="s">
        <v>91</v>
      </c>
      <c r="G56" s="222" t="s">
        <v>36</v>
      </c>
      <c r="H56" s="223"/>
      <c r="I56" s="223"/>
      <c r="J56" s="223"/>
      <c r="K56" s="223"/>
      <c r="L56" s="93">
        <f>4150+2070+660</f>
        <v>6880</v>
      </c>
      <c r="M56" s="93">
        <v>0</v>
      </c>
      <c r="N56" s="93"/>
      <c r="O56" s="93"/>
      <c r="P56" s="93"/>
      <c r="Q56" s="93"/>
      <c r="R56" s="93"/>
      <c r="S56" s="93">
        <v>0</v>
      </c>
      <c r="T56" s="93"/>
      <c r="U56" s="93">
        <v>0</v>
      </c>
      <c r="V56" s="93"/>
      <c r="W56" s="93">
        <v>0</v>
      </c>
      <c r="X56" s="93">
        <f t="shared" si="11"/>
        <v>6880</v>
      </c>
    </row>
    <row r="57" spans="1:24" s="94" customFormat="1" ht="36" customHeight="1">
      <c r="A57" s="246"/>
      <c r="B57" s="223"/>
      <c r="C57" s="100" t="s">
        <v>33</v>
      </c>
      <c r="D57" s="222" t="s">
        <v>92</v>
      </c>
      <c r="E57" s="223"/>
      <c r="F57" s="92" t="s">
        <v>93</v>
      </c>
      <c r="G57" s="222" t="s">
        <v>36</v>
      </c>
      <c r="H57" s="223"/>
      <c r="I57" s="223"/>
      <c r="J57" s="223"/>
      <c r="K57" s="223"/>
      <c r="L57" s="93"/>
      <c r="M57" s="93">
        <f>3745+3745+3745</f>
        <v>11235</v>
      </c>
      <c r="N57" s="93"/>
      <c r="O57" s="93"/>
      <c r="P57" s="93"/>
      <c r="Q57" s="93"/>
      <c r="R57" s="93"/>
      <c r="S57" s="93">
        <v>0</v>
      </c>
      <c r="T57" s="93"/>
      <c r="U57" s="93">
        <v>0</v>
      </c>
      <c r="V57" s="93"/>
      <c r="W57" s="93">
        <v>0</v>
      </c>
      <c r="X57" s="93">
        <f t="shared" si="11"/>
        <v>11235</v>
      </c>
    </row>
    <row r="58" spans="1:24" s="94" customFormat="1" ht="15">
      <c r="A58" s="246"/>
      <c r="B58" s="223"/>
      <c r="C58" s="244" t="s">
        <v>8</v>
      </c>
      <c r="D58" s="223"/>
      <c r="E58" s="223"/>
      <c r="F58" s="223"/>
      <c r="G58" s="223"/>
      <c r="H58" s="223"/>
      <c r="I58" s="223"/>
      <c r="J58" s="223"/>
      <c r="K58" s="223"/>
      <c r="L58" s="99">
        <f>SUM(L53:L57)</f>
        <v>77191.83</v>
      </c>
      <c r="M58" s="99">
        <f t="shared" ref="M58:V58" si="12">SUM(M53:M57)</f>
        <v>11235</v>
      </c>
      <c r="N58" s="99">
        <f t="shared" si="12"/>
        <v>0</v>
      </c>
      <c r="O58" s="99">
        <f t="shared" si="12"/>
        <v>0</v>
      </c>
      <c r="P58" s="99">
        <f t="shared" si="12"/>
        <v>0</v>
      </c>
      <c r="Q58" s="99">
        <f t="shared" si="12"/>
        <v>0</v>
      </c>
      <c r="R58" s="99"/>
      <c r="S58" s="99">
        <f t="shared" si="12"/>
        <v>0</v>
      </c>
      <c r="T58" s="99">
        <f t="shared" si="12"/>
        <v>0</v>
      </c>
      <c r="U58" s="99">
        <f t="shared" si="12"/>
        <v>0</v>
      </c>
      <c r="V58" s="99">
        <f t="shared" si="12"/>
        <v>0</v>
      </c>
      <c r="W58" s="99">
        <f t="shared" ref="W58" si="13">SUM(W53:W57)</f>
        <v>0</v>
      </c>
      <c r="X58" s="99">
        <f>SUM(X53:X57)</f>
        <v>88426.83</v>
      </c>
    </row>
    <row r="59" spans="1:24" s="94" customFormat="1" ht="30.75" customHeight="1">
      <c r="A59" s="245" t="s">
        <v>33</v>
      </c>
      <c r="B59" s="222" t="s">
        <v>94</v>
      </c>
      <c r="C59" s="100" t="s">
        <v>33</v>
      </c>
      <c r="D59" s="222" t="s">
        <v>95</v>
      </c>
      <c r="E59" s="223"/>
      <c r="F59" s="92" t="s">
        <v>96</v>
      </c>
      <c r="G59" s="222" t="s">
        <v>36</v>
      </c>
      <c r="H59" s="223"/>
      <c r="I59" s="223"/>
      <c r="J59" s="223"/>
      <c r="K59" s="223"/>
      <c r="L59" s="93"/>
      <c r="M59" s="93"/>
      <c r="N59" s="93"/>
      <c r="O59" s="93"/>
      <c r="P59" s="93">
        <f>84000+773000</f>
        <v>857000</v>
      </c>
      <c r="Q59" s="93"/>
      <c r="R59" s="93">
        <v>99789.93</v>
      </c>
      <c r="S59" s="93"/>
      <c r="T59" s="93"/>
      <c r="U59" s="93"/>
      <c r="V59" s="93"/>
      <c r="W59" s="93">
        <v>0</v>
      </c>
      <c r="X59" s="93">
        <f>SUM(L59:W59)</f>
        <v>956789.92999999993</v>
      </c>
    </row>
    <row r="60" spans="1:24" s="94" customFormat="1" ht="19.5" customHeight="1">
      <c r="A60" s="249"/>
      <c r="B60" s="222"/>
      <c r="C60" s="100"/>
      <c r="D60" s="222" t="s">
        <v>131</v>
      </c>
      <c r="E60" s="223"/>
      <c r="F60" s="92"/>
      <c r="G60" s="105"/>
      <c r="H60" s="106"/>
      <c r="I60" s="106"/>
      <c r="J60" s="106"/>
      <c r="K60" s="106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</row>
    <row r="61" spans="1:24" s="94" customFormat="1" ht="30.75" customHeight="1">
      <c r="A61" s="249"/>
      <c r="B61" s="222"/>
      <c r="C61" s="100"/>
      <c r="D61" s="222" t="s">
        <v>130</v>
      </c>
      <c r="E61" s="223"/>
      <c r="F61" s="92"/>
      <c r="G61" s="105"/>
      <c r="H61" s="106"/>
      <c r="I61" s="106"/>
      <c r="J61" s="106"/>
      <c r="K61" s="106"/>
      <c r="L61" s="93"/>
      <c r="M61" s="93"/>
      <c r="N61" s="93"/>
      <c r="O61" s="93"/>
      <c r="P61" s="93"/>
      <c r="Q61" s="93"/>
      <c r="R61" s="93"/>
      <c r="S61" s="93"/>
      <c r="T61" s="93"/>
      <c r="U61" s="93">
        <v>30000</v>
      </c>
      <c r="V61" s="93"/>
      <c r="W61" s="93"/>
      <c r="X61" s="93">
        <f>SUM(L61:W61)</f>
        <v>30000</v>
      </c>
    </row>
    <row r="62" spans="1:24" s="94" customFormat="1" ht="15">
      <c r="A62" s="246"/>
      <c r="B62" s="223"/>
      <c r="C62" s="244" t="s">
        <v>8</v>
      </c>
      <c r="D62" s="223"/>
      <c r="E62" s="223"/>
      <c r="F62" s="223"/>
      <c r="G62" s="223"/>
      <c r="H62" s="223"/>
      <c r="I62" s="223"/>
      <c r="J62" s="223"/>
      <c r="K62" s="223"/>
      <c r="L62" s="99">
        <f>SUM(L59:L61)</f>
        <v>0</v>
      </c>
      <c r="M62" s="99">
        <f t="shared" ref="M62:X62" si="14">SUM(M59:M61)</f>
        <v>0</v>
      </c>
      <c r="N62" s="99">
        <f t="shared" si="14"/>
        <v>0</v>
      </c>
      <c r="O62" s="99">
        <f t="shared" si="14"/>
        <v>0</v>
      </c>
      <c r="P62" s="99">
        <f t="shared" si="14"/>
        <v>857000</v>
      </c>
      <c r="Q62" s="99">
        <f t="shared" si="14"/>
        <v>0</v>
      </c>
      <c r="R62" s="99">
        <f t="shared" si="14"/>
        <v>99789.93</v>
      </c>
      <c r="S62" s="99">
        <f t="shared" si="14"/>
        <v>0</v>
      </c>
      <c r="T62" s="99">
        <f t="shared" si="14"/>
        <v>0</v>
      </c>
      <c r="U62" s="99">
        <f t="shared" si="14"/>
        <v>30000</v>
      </c>
      <c r="V62" s="99">
        <f t="shared" si="14"/>
        <v>0</v>
      </c>
      <c r="W62" s="99">
        <f t="shared" si="14"/>
        <v>0</v>
      </c>
      <c r="X62" s="99">
        <f t="shared" si="14"/>
        <v>986789.92999999993</v>
      </c>
    </row>
    <row r="63" spans="1:24" s="94" customFormat="1" ht="26.25" hidden="1" customHeight="1">
      <c r="A63" s="110" t="s">
        <v>33</v>
      </c>
      <c r="B63" s="256" t="s">
        <v>97</v>
      </c>
      <c r="C63" s="257"/>
      <c r="D63" s="258"/>
      <c r="E63" s="258"/>
      <c r="F63" s="257"/>
      <c r="G63" s="257"/>
      <c r="H63" s="257"/>
      <c r="I63" s="257"/>
      <c r="J63" s="257"/>
      <c r="K63" s="259"/>
      <c r="L63" s="111">
        <f t="shared" ref="L63:X63" si="15">+L21+L27+L34+L38+L43+L52+L58+L62</f>
        <v>2260115.56</v>
      </c>
      <c r="M63" s="111">
        <f t="shared" si="15"/>
        <v>414652</v>
      </c>
      <c r="N63" s="111"/>
      <c r="O63" s="111">
        <f t="shared" si="15"/>
        <v>130920</v>
      </c>
      <c r="P63" s="111">
        <f t="shared" si="15"/>
        <v>1918708.46</v>
      </c>
      <c r="Q63" s="111">
        <f t="shared" ca="1" si="15"/>
        <v>1401819.3599999999</v>
      </c>
      <c r="R63" s="111"/>
      <c r="S63" s="111">
        <f t="shared" si="15"/>
        <v>100440</v>
      </c>
      <c r="T63" s="111"/>
      <c r="U63" s="111">
        <f t="shared" si="15"/>
        <v>230600</v>
      </c>
      <c r="V63" s="111"/>
      <c r="W63" s="111">
        <f t="shared" si="15"/>
        <v>3213638</v>
      </c>
      <c r="X63" s="111">
        <f t="shared" si="15"/>
        <v>8901111.5500000007</v>
      </c>
    </row>
    <row r="64" spans="1:24" s="94" customFormat="1" ht="21" customHeight="1">
      <c r="B64" s="260" t="s">
        <v>117</v>
      </c>
      <c r="D64" s="263" t="s">
        <v>115</v>
      </c>
      <c r="E64" s="263"/>
      <c r="L64" s="107"/>
      <c r="M64" s="107"/>
      <c r="N64" s="107"/>
      <c r="O64" s="107"/>
      <c r="P64" s="107"/>
      <c r="Q64" s="112"/>
      <c r="R64" s="112"/>
      <c r="S64" s="107"/>
      <c r="T64" s="107"/>
      <c r="U64" s="107"/>
      <c r="V64" s="107"/>
      <c r="W64" s="107"/>
      <c r="X64" s="112">
        <f>SUM(L64:W64)</f>
        <v>0</v>
      </c>
    </row>
    <row r="65" spans="2:24" s="94" customFormat="1" ht="21" customHeight="1">
      <c r="B65" s="261"/>
      <c r="D65" s="263" t="s">
        <v>129</v>
      </c>
      <c r="E65" s="263"/>
      <c r="L65" s="113">
        <v>8500</v>
      </c>
      <c r="M65" s="107"/>
      <c r="N65" s="107"/>
      <c r="O65" s="107"/>
      <c r="P65" s="107"/>
      <c r="Q65" s="112"/>
      <c r="R65" s="112"/>
      <c r="S65" s="107"/>
      <c r="T65" s="107"/>
      <c r="U65" s="107"/>
      <c r="V65" s="107"/>
      <c r="W65" s="107"/>
      <c r="X65" s="112">
        <f>SUM(L65:W65)</f>
        <v>8500</v>
      </c>
    </row>
    <row r="66" spans="2:24" s="94" customFormat="1" ht="15">
      <c r="B66" s="261"/>
      <c r="D66" s="263" t="s">
        <v>118</v>
      </c>
      <c r="E66" s="263"/>
      <c r="L66" s="107"/>
      <c r="M66" s="107"/>
      <c r="N66" s="107"/>
      <c r="O66" s="107"/>
      <c r="P66" s="107"/>
      <c r="Q66" s="112"/>
      <c r="R66" s="112"/>
      <c r="S66" s="107"/>
      <c r="T66" s="107"/>
      <c r="U66" s="107"/>
      <c r="V66" s="107"/>
      <c r="W66" s="107"/>
      <c r="X66" s="112">
        <f t="shared" ref="X66:X68" si="16">SUM(L66:W66)</f>
        <v>0</v>
      </c>
    </row>
    <row r="67" spans="2:24" s="94" customFormat="1" ht="15">
      <c r="B67" s="261"/>
      <c r="D67" s="264" t="s">
        <v>116</v>
      </c>
      <c r="E67" s="264"/>
      <c r="L67" s="112"/>
      <c r="M67" s="112"/>
      <c r="N67" s="112"/>
      <c r="O67" s="112"/>
      <c r="P67" s="107"/>
      <c r="Q67" s="112">
        <v>21000</v>
      </c>
      <c r="R67" s="112"/>
      <c r="S67" s="107"/>
      <c r="T67" s="107"/>
      <c r="U67" s="107"/>
      <c r="V67" s="107"/>
      <c r="W67" s="107"/>
      <c r="X67" s="112">
        <f t="shared" si="16"/>
        <v>21000</v>
      </c>
    </row>
    <row r="68" spans="2:24" s="94" customFormat="1" ht="15">
      <c r="B68" s="261"/>
      <c r="D68" s="266" t="s">
        <v>128</v>
      </c>
      <c r="E68" s="267"/>
      <c r="L68" s="112">
        <v>89000</v>
      </c>
      <c r="M68" s="112"/>
      <c r="N68" s="112"/>
      <c r="O68" s="112"/>
      <c r="P68" s="107"/>
      <c r="Q68" s="112"/>
      <c r="R68" s="112"/>
      <c r="S68" s="107"/>
      <c r="T68" s="107"/>
      <c r="U68" s="107"/>
      <c r="V68" s="107"/>
      <c r="W68" s="107"/>
      <c r="X68" s="112">
        <f t="shared" si="16"/>
        <v>89000</v>
      </c>
    </row>
    <row r="69" spans="2:24" s="115" customFormat="1" ht="15">
      <c r="B69" s="262"/>
      <c r="C69" s="114"/>
      <c r="D69" s="265" t="s">
        <v>8</v>
      </c>
      <c r="E69" s="265"/>
      <c r="L69" s="116">
        <f>SUM(L64:L68)</f>
        <v>97500</v>
      </c>
      <c r="M69" s="116">
        <f t="shared" ref="M69:W69" si="17">SUM(M64:M68)</f>
        <v>0</v>
      </c>
      <c r="N69" s="116">
        <f t="shared" si="17"/>
        <v>0</v>
      </c>
      <c r="O69" s="116">
        <f t="shared" si="17"/>
        <v>0</v>
      </c>
      <c r="P69" s="116">
        <f t="shared" si="17"/>
        <v>0</v>
      </c>
      <c r="Q69" s="116">
        <f t="shared" si="17"/>
        <v>21000</v>
      </c>
      <c r="R69" s="116">
        <f t="shared" si="17"/>
        <v>0</v>
      </c>
      <c r="S69" s="116">
        <f t="shared" si="17"/>
        <v>0</v>
      </c>
      <c r="T69" s="116">
        <f t="shared" si="17"/>
        <v>0</v>
      </c>
      <c r="U69" s="116">
        <f t="shared" si="17"/>
        <v>0</v>
      </c>
      <c r="V69" s="116">
        <f t="shared" si="17"/>
        <v>0</v>
      </c>
      <c r="W69" s="116">
        <f t="shared" si="17"/>
        <v>0</v>
      </c>
      <c r="X69" s="116">
        <f>SUM(X64:X68)</f>
        <v>118500</v>
      </c>
    </row>
    <row r="70" spans="2:24" s="94" customFormat="1" ht="30" customHeight="1">
      <c r="B70" s="117" t="s">
        <v>132</v>
      </c>
      <c r="D70" s="230" t="s">
        <v>133</v>
      </c>
      <c r="E70" s="231"/>
      <c r="L70" s="107"/>
      <c r="M70" s="107"/>
      <c r="N70" s="107"/>
      <c r="O70" s="107"/>
      <c r="P70" s="107">
        <v>125200</v>
      </c>
      <c r="Q70" s="107"/>
      <c r="R70" s="107">
        <f>440700+203000</f>
        <v>643700</v>
      </c>
      <c r="S70" s="107"/>
      <c r="T70" s="107"/>
      <c r="U70" s="107"/>
      <c r="V70" s="107"/>
      <c r="W70" s="107"/>
      <c r="X70" s="107"/>
    </row>
    <row r="71" spans="2:24" s="94" customFormat="1" ht="15">
      <c r="B71" s="118"/>
      <c r="D71" s="224" t="s">
        <v>8</v>
      </c>
      <c r="E71" s="225"/>
      <c r="L71" s="107"/>
      <c r="M71" s="107"/>
      <c r="N71" s="107"/>
      <c r="O71" s="107"/>
      <c r="P71" s="107">
        <f>SUM(P70)</f>
        <v>125200</v>
      </c>
      <c r="Q71" s="107">
        <f t="shared" ref="Q71:X71" si="18">SUM(Q70)</f>
        <v>0</v>
      </c>
      <c r="R71" s="107">
        <f t="shared" si="18"/>
        <v>643700</v>
      </c>
      <c r="S71" s="107">
        <f t="shared" si="18"/>
        <v>0</v>
      </c>
      <c r="T71" s="107">
        <f t="shared" si="18"/>
        <v>0</v>
      </c>
      <c r="U71" s="107">
        <f t="shared" si="18"/>
        <v>0</v>
      </c>
      <c r="V71" s="107">
        <f t="shared" si="18"/>
        <v>0</v>
      </c>
      <c r="W71" s="107">
        <f t="shared" si="18"/>
        <v>0</v>
      </c>
      <c r="X71" s="107">
        <f t="shared" si="18"/>
        <v>0</v>
      </c>
    </row>
    <row r="72" spans="2:24" s="94" customFormat="1" ht="15">
      <c r="B72" s="251" t="s">
        <v>119</v>
      </c>
      <c r="C72" s="252"/>
      <c r="D72" s="252"/>
      <c r="E72" s="253"/>
      <c r="L72" s="119">
        <f t="shared" ref="L72:O72" si="19">+L69+L62+L58+L52+L43+L38+L34+L27+L21+L71</f>
        <v>2357615.56</v>
      </c>
      <c r="M72" s="119">
        <f t="shared" si="19"/>
        <v>414652</v>
      </c>
      <c r="N72" s="119">
        <f t="shared" si="19"/>
        <v>17360</v>
      </c>
      <c r="O72" s="119">
        <f t="shared" si="19"/>
        <v>130920</v>
      </c>
      <c r="P72" s="119">
        <f>+P69+P62+P58+P52+P43+P38+P34+P27+P21+P71</f>
        <v>2043908.46</v>
      </c>
      <c r="Q72" s="119">
        <f t="shared" ref="Q72:X72" ca="1" si="20">+Q69+Q62+Q58+Q52+Q43+Q38+Q34+Q27+Q21+Q71</f>
        <v>2043908.46</v>
      </c>
      <c r="R72" s="119">
        <f t="shared" si="20"/>
        <v>774637.92999999993</v>
      </c>
      <c r="S72" s="119">
        <f t="shared" si="20"/>
        <v>100440</v>
      </c>
      <c r="T72" s="119">
        <f t="shared" si="20"/>
        <v>179385</v>
      </c>
      <c r="U72" s="119">
        <f t="shared" si="20"/>
        <v>230600</v>
      </c>
      <c r="V72" s="119">
        <f t="shared" si="20"/>
        <v>20600</v>
      </c>
      <c r="W72" s="119">
        <f t="shared" si="20"/>
        <v>3213638</v>
      </c>
      <c r="X72" s="119">
        <f t="shared" si="20"/>
        <v>9019611.5500000007</v>
      </c>
    </row>
    <row r="73" spans="2:24" s="94" customFormat="1" ht="15"/>
  </sheetData>
  <mergeCells count="137">
    <mergeCell ref="B72:E72"/>
    <mergeCell ref="D19:E19"/>
    <mergeCell ref="B63:K63"/>
    <mergeCell ref="B64:B69"/>
    <mergeCell ref="D64:E64"/>
    <mergeCell ref="D66:E66"/>
    <mergeCell ref="D67:E67"/>
    <mergeCell ref="D69:E69"/>
    <mergeCell ref="G56:K56"/>
    <mergeCell ref="D57:E57"/>
    <mergeCell ref="G57:K57"/>
    <mergeCell ref="C58:K58"/>
    <mergeCell ref="C49:E49"/>
    <mergeCell ref="C27:K27"/>
    <mergeCell ref="G23:K23"/>
    <mergeCell ref="D24:E24"/>
    <mergeCell ref="G24:K24"/>
    <mergeCell ref="D25:E25"/>
    <mergeCell ref="G25:K25"/>
    <mergeCell ref="D26:E26"/>
    <mergeCell ref="G26:K26"/>
    <mergeCell ref="D50:E50"/>
    <mergeCell ref="D68:E68"/>
    <mergeCell ref="D65:E65"/>
    <mergeCell ref="A59:A62"/>
    <mergeCell ref="B59:B62"/>
    <mergeCell ref="D59:E59"/>
    <mergeCell ref="G59:K59"/>
    <mergeCell ref="C62:K62"/>
    <mergeCell ref="D51:E51"/>
    <mergeCell ref="C52:K52"/>
    <mergeCell ref="A53:A58"/>
    <mergeCell ref="B53:B58"/>
    <mergeCell ref="D53:E53"/>
    <mergeCell ref="G53:K53"/>
    <mergeCell ref="D54:E54"/>
    <mergeCell ref="G54:K54"/>
    <mergeCell ref="D55:E55"/>
    <mergeCell ref="D56:E56"/>
    <mergeCell ref="A44:A52"/>
    <mergeCell ref="B44:B52"/>
    <mergeCell ref="D44:E44"/>
    <mergeCell ref="G44:K44"/>
    <mergeCell ref="D45:E45"/>
    <mergeCell ref="D46:E46"/>
    <mergeCell ref="D47:E47"/>
    <mergeCell ref="G47:K47"/>
    <mergeCell ref="C48:E48"/>
    <mergeCell ref="G29:K29"/>
    <mergeCell ref="D30:E30"/>
    <mergeCell ref="G30:K30"/>
    <mergeCell ref="D31:E31"/>
    <mergeCell ref="A39:A43"/>
    <mergeCell ref="B39:B43"/>
    <mergeCell ref="D39:E39"/>
    <mergeCell ref="G39:K39"/>
    <mergeCell ref="D40:E40"/>
    <mergeCell ref="G40:K40"/>
    <mergeCell ref="D41:E41"/>
    <mergeCell ref="D42:E42"/>
    <mergeCell ref="C43:K43"/>
    <mergeCell ref="A22:A27"/>
    <mergeCell ref="B22:B27"/>
    <mergeCell ref="D22:E22"/>
    <mergeCell ref="G22:K22"/>
    <mergeCell ref="D23:E23"/>
    <mergeCell ref="A35:A38"/>
    <mergeCell ref="B35:B38"/>
    <mergeCell ref="D35:E35"/>
    <mergeCell ref="G35:K35"/>
    <mergeCell ref="D36:E36"/>
    <mergeCell ref="G36:K36"/>
    <mergeCell ref="D37:E37"/>
    <mergeCell ref="C38:K38"/>
    <mergeCell ref="G31:K31"/>
    <mergeCell ref="D32:E32"/>
    <mergeCell ref="G32:K32"/>
    <mergeCell ref="D33:E33"/>
    <mergeCell ref="G33:K33"/>
    <mergeCell ref="C34:K34"/>
    <mergeCell ref="A28:A34"/>
    <mergeCell ref="B28:B34"/>
    <mergeCell ref="D28:E28"/>
    <mergeCell ref="G28:K28"/>
    <mergeCell ref="D29:E29"/>
    <mergeCell ref="A15:A21"/>
    <mergeCell ref="B15:B20"/>
    <mergeCell ref="D15:E15"/>
    <mergeCell ref="G15:K15"/>
    <mergeCell ref="D16:E16"/>
    <mergeCell ref="G16:K16"/>
    <mergeCell ref="D17:E17"/>
    <mergeCell ref="G17:K17"/>
    <mergeCell ref="D18:E18"/>
    <mergeCell ref="G18:K18"/>
    <mergeCell ref="D20:E20"/>
    <mergeCell ref="G20:K20"/>
    <mergeCell ref="B21:K21"/>
    <mergeCell ref="P10:P12"/>
    <mergeCell ref="Q10:Q12"/>
    <mergeCell ref="S10:S12"/>
    <mergeCell ref="T10:T12"/>
    <mergeCell ref="U10:U12"/>
    <mergeCell ref="W10:W12"/>
    <mergeCell ref="A11:E13"/>
    <mergeCell ref="L13:L14"/>
    <mergeCell ref="M13:M14"/>
    <mergeCell ref="O13:O14"/>
    <mergeCell ref="P13:P14"/>
    <mergeCell ref="Q13:Q14"/>
    <mergeCell ref="S13:S14"/>
    <mergeCell ref="U13:U14"/>
    <mergeCell ref="W13:W14"/>
    <mergeCell ref="D61:E61"/>
    <mergeCell ref="D60:E60"/>
    <mergeCell ref="D71:E71"/>
    <mergeCell ref="Q7:R7"/>
    <mergeCell ref="Q9:R9"/>
    <mergeCell ref="D70:E70"/>
    <mergeCell ref="A1:H1"/>
    <mergeCell ref="A3:X3"/>
    <mergeCell ref="A4:X4"/>
    <mergeCell ref="A5:X5"/>
    <mergeCell ref="L7:M7"/>
    <mergeCell ref="O7:P7"/>
    <mergeCell ref="T7:U7"/>
    <mergeCell ref="X7:X14"/>
    <mergeCell ref="L8:M9"/>
    <mergeCell ref="N10:N12"/>
    <mergeCell ref="R11:R12"/>
    <mergeCell ref="U8:U9"/>
    <mergeCell ref="W8:W9"/>
    <mergeCell ref="H9:J10"/>
    <mergeCell ref="O9:P9"/>
    <mergeCell ref="L10:L12"/>
    <mergeCell ref="M10:M12"/>
    <mergeCell ref="O10:O12"/>
  </mergeCells>
  <pageMargins left="0.19" right="0.15" top="0.43307086614173229" bottom="0.27" header="0.31496062992125984" footer="0.19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ไตรมาส1</vt:lpstr>
      <vt:lpstr>ไตรมาส2</vt:lpstr>
      <vt:lpstr>ไตรมาส3</vt:lpstr>
      <vt:lpstr>ไตรมาส1!Print_Titles</vt:lpstr>
      <vt:lpstr>ไตรมาส2!Print_Titles</vt:lpstr>
      <vt:lpstr>ไตรมาส3!Print_Titles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dada</cp:lastModifiedBy>
  <cp:lastPrinted>2017-07-12T08:18:44Z</cp:lastPrinted>
  <dcterms:created xsi:type="dcterms:W3CDTF">2016-12-14T06:52:52Z</dcterms:created>
  <dcterms:modified xsi:type="dcterms:W3CDTF">2017-07-12T09:29:24Z</dcterms:modified>
</cp:coreProperties>
</file>